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8" activeTab="11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  <sheet name="EJECUCION AGO - 19" sheetId="151" r:id="rId8"/>
    <sheet name="EJECUCION SEPT - 19" sheetId="152" r:id="rId9"/>
    <sheet name="EJECUCION OCT - 19" sheetId="153" r:id="rId10"/>
    <sheet name="EJECUCION NOV - 19" sheetId="154" r:id="rId11"/>
    <sheet name="EJECUCION DIC - 19" sheetId="155" r:id="rId12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G101" i="155" l="1"/>
  <c r="C101" i="155"/>
  <c r="C102" i="155" s="1"/>
  <c r="G100" i="155"/>
  <c r="F100" i="155"/>
  <c r="F101" i="155" s="1"/>
  <c r="C100" i="155"/>
  <c r="E99" i="155"/>
  <c r="E100" i="155" s="1"/>
  <c r="D99" i="155"/>
  <c r="D100" i="155" s="1"/>
  <c r="G98" i="155"/>
  <c r="F98" i="155"/>
  <c r="C98" i="155"/>
  <c r="H97" i="155"/>
  <c r="H98" i="155" s="1"/>
  <c r="E97" i="155"/>
  <c r="E96" i="155"/>
  <c r="E95" i="155"/>
  <c r="E94" i="155"/>
  <c r="D94" i="155"/>
  <c r="D98" i="155" s="1"/>
  <c r="E93" i="155"/>
  <c r="E92" i="155"/>
  <c r="E98" i="155" s="1"/>
  <c r="D87" i="155"/>
  <c r="G86" i="155"/>
  <c r="F86" i="155"/>
  <c r="D86" i="155"/>
  <c r="C86" i="155"/>
  <c r="H85" i="155"/>
  <c r="E85" i="155"/>
  <c r="E86" i="155" s="1"/>
  <c r="H86" i="155" s="1"/>
  <c r="G84" i="155"/>
  <c r="G87" i="155" s="1"/>
  <c r="F84" i="155"/>
  <c r="F87" i="155" s="1"/>
  <c r="D84" i="155"/>
  <c r="C84" i="155"/>
  <c r="C87" i="155" s="1"/>
  <c r="H83" i="155"/>
  <c r="E83" i="155"/>
  <c r="E82" i="155"/>
  <c r="E84" i="155" s="1"/>
  <c r="D81" i="155"/>
  <c r="G80" i="155"/>
  <c r="F80" i="155"/>
  <c r="D80" i="155"/>
  <c r="C80" i="155"/>
  <c r="H79" i="155"/>
  <c r="E79" i="155"/>
  <c r="E80" i="155" s="1"/>
  <c r="H80" i="155" s="1"/>
  <c r="F78" i="155"/>
  <c r="D78" i="155"/>
  <c r="H77" i="155"/>
  <c r="E77" i="155"/>
  <c r="G76" i="155"/>
  <c r="G78" i="155" s="1"/>
  <c r="E76" i="155"/>
  <c r="H76" i="155" s="1"/>
  <c r="E75" i="155"/>
  <c r="E78" i="155" s="1"/>
  <c r="H78" i="155" s="1"/>
  <c r="C75" i="155"/>
  <c r="C78" i="155" s="1"/>
  <c r="G74" i="155"/>
  <c r="G81" i="155" s="1"/>
  <c r="F74" i="155"/>
  <c r="F81" i="155" s="1"/>
  <c r="D74" i="155"/>
  <c r="C74" i="155"/>
  <c r="C81" i="155" s="1"/>
  <c r="H73" i="155"/>
  <c r="E73" i="155"/>
  <c r="E74" i="155" s="1"/>
  <c r="F71" i="155"/>
  <c r="F72" i="155" s="1"/>
  <c r="E71" i="155"/>
  <c r="D71" i="155"/>
  <c r="D72" i="155" s="1"/>
  <c r="C71" i="155"/>
  <c r="G70" i="155"/>
  <c r="G71" i="155" s="1"/>
  <c r="E70" i="155"/>
  <c r="H70" i="155" s="1"/>
  <c r="E69" i="155"/>
  <c r="F68" i="155"/>
  <c r="D68" i="155"/>
  <c r="C68" i="155"/>
  <c r="C72" i="155" s="1"/>
  <c r="H67" i="155"/>
  <c r="E67" i="155"/>
  <c r="G66" i="155"/>
  <c r="G68" i="155" s="1"/>
  <c r="E66" i="155"/>
  <c r="H66" i="155" s="1"/>
  <c r="E65" i="155"/>
  <c r="E68" i="155" s="1"/>
  <c r="F64" i="155"/>
  <c r="D64" i="155"/>
  <c r="C64" i="155"/>
  <c r="H63" i="155"/>
  <c r="G63" i="155"/>
  <c r="E63" i="155"/>
  <c r="G62" i="155"/>
  <c r="E62" i="155"/>
  <c r="G61" i="155"/>
  <c r="E61" i="155"/>
  <c r="G60" i="155"/>
  <c r="E60" i="155"/>
  <c r="G59" i="155"/>
  <c r="E59" i="155"/>
  <c r="H59" i="155" s="1"/>
  <c r="H58" i="155"/>
  <c r="E58" i="155"/>
  <c r="G57" i="155"/>
  <c r="E57" i="155"/>
  <c r="H56" i="155"/>
  <c r="E56" i="155"/>
  <c r="E55" i="155"/>
  <c r="H55" i="155" s="1"/>
  <c r="H54" i="155"/>
  <c r="E54" i="155"/>
  <c r="G53" i="155"/>
  <c r="G64" i="155" s="1"/>
  <c r="E53" i="155"/>
  <c r="H53" i="155" s="1"/>
  <c r="G52" i="155"/>
  <c r="E52" i="155"/>
  <c r="E64" i="155" s="1"/>
  <c r="F51" i="155"/>
  <c r="D51" i="155"/>
  <c r="C51" i="155"/>
  <c r="E50" i="155"/>
  <c r="H50" i="155" s="1"/>
  <c r="H49" i="155"/>
  <c r="G49" i="155"/>
  <c r="E49" i="155"/>
  <c r="H48" i="155"/>
  <c r="G48" i="155"/>
  <c r="E48" i="155"/>
  <c r="G47" i="155"/>
  <c r="G51" i="155" s="1"/>
  <c r="E47" i="155"/>
  <c r="E51" i="155" s="1"/>
  <c r="F43" i="155"/>
  <c r="D43" i="155"/>
  <c r="C43" i="155"/>
  <c r="G42" i="155"/>
  <c r="E42" i="155"/>
  <c r="H41" i="155"/>
  <c r="G41" i="155"/>
  <c r="E41" i="155"/>
  <c r="G40" i="155"/>
  <c r="E40" i="155"/>
  <c r="H40" i="155" s="1"/>
  <c r="H39" i="155"/>
  <c r="E39" i="155"/>
  <c r="H38" i="155"/>
  <c r="G38" i="155"/>
  <c r="E38" i="155"/>
  <c r="E37" i="155"/>
  <c r="H36" i="155"/>
  <c r="G36" i="155"/>
  <c r="E36" i="155"/>
  <c r="G35" i="155"/>
  <c r="E35" i="155"/>
  <c r="H35" i="155" s="1"/>
  <c r="H34" i="155"/>
  <c r="E34" i="155"/>
  <c r="H33" i="155"/>
  <c r="E33" i="155"/>
  <c r="H32" i="155"/>
  <c r="E32" i="155"/>
  <c r="H31" i="155"/>
  <c r="E31" i="155"/>
  <c r="H30" i="155"/>
  <c r="E30" i="155"/>
  <c r="H29" i="155"/>
  <c r="E29" i="155"/>
  <c r="G28" i="155"/>
  <c r="E28" i="155"/>
  <c r="H28" i="155" s="1"/>
  <c r="G27" i="155"/>
  <c r="E27" i="155"/>
  <c r="E26" i="155"/>
  <c r="H26" i="155" s="1"/>
  <c r="H25" i="155"/>
  <c r="G25" i="155"/>
  <c r="G43" i="155" s="1"/>
  <c r="E25" i="155"/>
  <c r="E43" i="155" s="1"/>
  <c r="F24" i="155"/>
  <c r="D24" i="155"/>
  <c r="C24" i="155"/>
  <c r="H23" i="155"/>
  <c r="E23" i="155"/>
  <c r="H22" i="155"/>
  <c r="G22" i="155"/>
  <c r="E22" i="155"/>
  <c r="E21" i="155"/>
  <c r="H21" i="155" s="1"/>
  <c r="E20" i="155"/>
  <c r="E19" i="155"/>
  <c r="G18" i="155"/>
  <c r="E18" i="155"/>
  <c r="H18" i="155" s="1"/>
  <c r="G17" i="155"/>
  <c r="E17" i="155"/>
  <c r="H17" i="155" s="1"/>
  <c r="G16" i="155"/>
  <c r="H16" i="155" s="1"/>
  <c r="E16" i="155"/>
  <c r="H15" i="155"/>
  <c r="G15" i="155"/>
  <c r="E15" i="155"/>
  <c r="G14" i="155"/>
  <c r="E14" i="155"/>
  <c r="H14" i="155" s="1"/>
  <c r="E13" i="155"/>
  <c r="G12" i="155"/>
  <c r="E12" i="155"/>
  <c r="H12" i="155" s="1"/>
  <c r="G11" i="155"/>
  <c r="E11" i="155"/>
  <c r="H11" i="155" s="1"/>
  <c r="H10" i="155"/>
  <c r="E10" i="155"/>
  <c r="G9" i="155"/>
  <c r="G24" i="155" s="1"/>
  <c r="E9" i="155"/>
  <c r="E24" i="155" s="1"/>
  <c r="G72" i="155" l="1"/>
  <c r="G102" i="155" s="1"/>
  <c r="H100" i="155"/>
  <c r="H101" i="155" s="1"/>
  <c r="E101" i="155"/>
  <c r="F102" i="155"/>
  <c r="E81" i="155"/>
  <c r="H81" i="155" s="1"/>
  <c r="H74" i="155"/>
  <c r="H68" i="155"/>
  <c r="H84" i="155"/>
  <c r="H87" i="155" s="1"/>
  <c r="E87" i="155"/>
  <c r="H51" i="155"/>
  <c r="H64" i="155"/>
  <c r="H71" i="155"/>
  <c r="D101" i="155"/>
  <c r="D102" i="155" s="1"/>
  <c r="H9" i="155"/>
  <c r="H24" i="155" s="1"/>
  <c r="H99" i="155"/>
  <c r="H52" i="155"/>
  <c r="E72" i="155"/>
  <c r="H82" i="155"/>
  <c r="F101" i="154"/>
  <c r="G100" i="154"/>
  <c r="F100" i="154"/>
  <c r="C100" i="154"/>
  <c r="D99" i="154"/>
  <c r="D100" i="154" s="1"/>
  <c r="D101" i="154" s="1"/>
  <c r="G98" i="154"/>
  <c r="F98" i="154"/>
  <c r="C98" i="154"/>
  <c r="C101" i="154" s="1"/>
  <c r="E97" i="154"/>
  <c r="H97" i="154" s="1"/>
  <c r="E96" i="154"/>
  <c r="E95" i="154"/>
  <c r="H95" i="154" s="1"/>
  <c r="D94" i="154"/>
  <c r="D98" i="154" s="1"/>
  <c r="E93" i="154"/>
  <c r="H93" i="154" s="1"/>
  <c r="E92" i="154"/>
  <c r="H92" i="154" s="1"/>
  <c r="G87" i="154"/>
  <c r="C87" i="154"/>
  <c r="G86" i="154"/>
  <c r="F86" i="154"/>
  <c r="D86" i="154"/>
  <c r="C86" i="154"/>
  <c r="E85" i="154"/>
  <c r="E86" i="154" s="1"/>
  <c r="H86" i="154" s="1"/>
  <c r="G84" i="154"/>
  <c r="F84" i="154"/>
  <c r="F87" i="154" s="1"/>
  <c r="D84" i="154"/>
  <c r="D87" i="154" s="1"/>
  <c r="C84" i="154"/>
  <c r="E83" i="154"/>
  <c r="E84" i="154" s="1"/>
  <c r="E82" i="154"/>
  <c r="H82" i="154" s="1"/>
  <c r="G81" i="154"/>
  <c r="G80" i="154"/>
  <c r="F80" i="154"/>
  <c r="D80" i="154"/>
  <c r="C80" i="154"/>
  <c r="E79" i="154"/>
  <c r="E80" i="154" s="1"/>
  <c r="H80" i="154" s="1"/>
  <c r="G78" i="154"/>
  <c r="F78" i="154"/>
  <c r="D78" i="154"/>
  <c r="E77" i="154"/>
  <c r="H77" i="154" s="1"/>
  <c r="E76" i="154"/>
  <c r="H76" i="154" s="1"/>
  <c r="E75" i="154"/>
  <c r="H75" i="154" s="1"/>
  <c r="C75" i="154"/>
  <c r="C78" i="154" s="1"/>
  <c r="C81" i="154" s="1"/>
  <c r="G74" i="154"/>
  <c r="F74" i="154"/>
  <c r="F81" i="154" s="1"/>
  <c r="D74" i="154"/>
  <c r="D81" i="154" s="1"/>
  <c r="C74" i="154"/>
  <c r="H73" i="154"/>
  <c r="E73" i="154"/>
  <c r="E74" i="154" s="1"/>
  <c r="G71" i="154"/>
  <c r="G72" i="154" s="1"/>
  <c r="F71" i="154"/>
  <c r="D71" i="154"/>
  <c r="D72" i="154" s="1"/>
  <c r="C71" i="154"/>
  <c r="C72" i="154" s="1"/>
  <c r="E70" i="154"/>
  <c r="H70" i="154" s="1"/>
  <c r="H69" i="154"/>
  <c r="E69" i="154"/>
  <c r="E71" i="154" s="1"/>
  <c r="G68" i="154"/>
  <c r="F68" i="154"/>
  <c r="F72" i="154" s="1"/>
  <c r="D68" i="154"/>
  <c r="C68" i="154"/>
  <c r="H67" i="154"/>
  <c r="E67" i="154"/>
  <c r="E66" i="154"/>
  <c r="H66" i="154" s="1"/>
  <c r="H65" i="154"/>
  <c r="E65" i="154"/>
  <c r="E68" i="154" s="1"/>
  <c r="H68" i="154" s="1"/>
  <c r="G64" i="154"/>
  <c r="F64" i="154"/>
  <c r="D64" i="154"/>
  <c r="C64" i="154"/>
  <c r="H63" i="154"/>
  <c r="E63" i="154"/>
  <c r="E62" i="154"/>
  <c r="H62" i="154" s="1"/>
  <c r="H61" i="154"/>
  <c r="E61" i="154"/>
  <c r="E60" i="154"/>
  <c r="H60" i="154" s="1"/>
  <c r="H59" i="154"/>
  <c r="E59" i="154"/>
  <c r="H58" i="154"/>
  <c r="E58" i="154"/>
  <c r="H57" i="154"/>
  <c r="E57" i="154"/>
  <c r="H56" i="154"/>
  <c r="E56" i="154"/>
  <c r="H55" i="154"/>
  <c r="E55" i="154"/>
  <c r="H54" i="154"/>
  <c r="E54" i="154"/>
  <c r="H53" i="154"/>
  <c r="E53" i="154"/>
  <c r="H52" i="154"/>
  <c r="E52" i="154"/>
  <c r="E64" i="154" s="1"/>
  <c r="H64" i="154" s="1"/>
  <c r="G51" i="154"/>
  <c r="F51" i="154"/>
  <c r="D51" i="154"/>
  <c r="C51" i="154"/>
  <c r="H50" i="154"/>
  <c r="E50" i="154"/>
  <c r="H49" i="154"/>
  <c r="E49" i="154"/>
  <c r="H48" i="154"/>
  <c r="E48" i="154"/>
  <c r="H47" i="154"/>
  <c r="E47" i="154"/>
  <c r="E51" i="154" s="1"/>
  <c r="H51" i="154" s="1"/>
  <c r="G43" i="154"/>
  <c r="F43" i="154"/>
  <c r="D43" i="154"/>
  <c r="C43" i="154"/>
  <c r="H42" i="154"/>
  <c r="E42" i="154"/>
  <c r="E41" i="154"/>
  <c r="H41" i="154" s="1"/>
  <c r="H40" i="154"/>
  <c r="E40" i="154"/>
  <c r="E39" i="154"/>
  <c r="H39" i="154" s="1"/>
  <c r="H38" i="154"/>
  <c r="E38" i="154"/>
  <c r="E37" i="154"/>
  <c r="H37" i="154" s="1"/>
  <c r="H36" i="154"/>
  <c r="E36" i="154"/>
  <c r="E35" i="154"/>
  <c r="H35" i="154" s="1"/>
  <c r="H34" i="154"/>
  <c r="E34" i="154"/>
  <c r="E33" i="154"/>
  <c r="H33" i="154" s="1"/>
  <c r="H32" i="154"/>
  <c r="E32" i="154"/>
  <c r="E31" i="154"/>
  <c r="H31" i="154" s="1"/>
  <c r="H30" i="154"/>
  <c r="E30" i="154"/>
  <c r="E29" i="154"/>
  <c r="H29" i="154" s="1"/>
  <c r="H28" i="154"/>
  <c r="E28" i="154"/>
  <c r="E27" i="154"/>
  <c r="H27" i="154" s="1"/>
  <c r="H26" i="154"/>
  <c r="E26" i="154"/>
  <c r="E25" i="154"/>
  <c r="E43" i="154" s="1"/>
  <c r="H43" i="154" s="1"/>
  <c r="F24" i="154"/>
  <c r="D24" i="154"/>
  <c r="C24" i="154"/>
  <c r="E23" i="154"/>
  <c r="H23" i="154" s="1"/>
  <c r="H22" i="154"/>
  <c r="E22" i="154"/>
  <c r="E21" i="154"/>
  <c r="H21" i="154" s="1"/>
  <c r="H20" i="154"/>
  <c r="E20" i="154"/>
  <c r="E19" i="154"/>
  <c r="H19" i="154" s="1"/>
  <c r="H18" i="154"/>
  <c r="G18" i="154"/>
  <c r="E18" i="154"/>
  <c r="G17" i="154"/>
  <c r="E17" i="154"/>
  <c r="H17" i="154" s="1"/>
  <c r="G16" i="154"/>
  <c r="E16" i="154"/>
  <c r="H16" i="154" s="1"/>
  <c r="G15" i="154"/>
  <c r="E15" i="154"/>
  <c r="H15" i="154" s="1"/>
  <c r="H14" i="154"/>
  <c r="E14" i="154"/>
  <c r="E13" i="154"/>
  <c r="H13" i="154" s="1"/>
  <c r="H12" i="154"/>
  <c r="G12" i="154"/>
  <c r="E12" i="154"/>
  <c r="E11" i="154"/>
  <c r="H11" i="154" s="1"/>
  <c r="E10" i="154"/>
  <c r="H10" i="154" s="1"/>
  <c r="G9" i="154"/>
  <c r="G24" i="154" s="1"/>
  <c r="G102" i="154" s="1"/>
  <c r="E9" i="154"/>
  <c r="E24" i="154" s="1"/>
  <c r="H72" i="155" l="1"/>
  <c r="H102" i="155" s="1"/>
  <c r="E102" i="155"/>
  <c r="E81" i="154"/>
  <c r="H81" i="154" s="1"/>
  <c r="H74" i="154"/>
  <c r="H84" i="154"/>
  <c r="H87" i="154" s="1"/>
  <c r="E87" i="154"/>
  <c r="E72" i="154"/>
  <c r="H72" i="154" s="1"/>
  <c r="H71" i="154"/>
  <c r="D102" i="154"/>
  <c r="F102" i="154"/>
  <c r="C102" i="154"/>
  <c r="E78" i="154"/>
  <c r="H78" i="154" s="1"/>
  <c r="E98" i="154"/>
  <c r="H98" i="154" s="1"/>
  <c r="H9" i="154"/>
  <c r="H24" i="154" s="1"/>
  <c r="H79" i="154"/>
  <c r="H83" i="154"/>
  <c r="H85" i="154"/>
  <c r="E99" i="154"/>
  <c r="H25" i="154"/>
  <c r="E94" i="154"/>
  <c r="H94" i="154" s="1"/>
  <c r="G99" i="153"/>
  <c r="F99" i="153"/>
  <c r="F100" i="153" s="1"/>
  <c r="C99" i="153"/>
  <c r="D98" i="153"/>
  <c r="E98" i="153" s="1"/>
  <c r="G97" i="153"/>
  <c r="F97" i="153"/>
  <c r="C97" i="153"/>
  <c r="C100" i="153" s="1"/>
  <c r="E96" i="153"/>
  <c r="H96" i="153" s="1"/>
  <c r="E95" i="153"/>
  <c r="H95" i="153" s="1"/>
  <c r="D95" i="153"/>
  <c r="D94" i="153"/>
  <c r="E94" i="153" s="1"/>
  <c r="H94" i="153" s="1"/>
  <c r="D93" i="153"/>
  <c r="D97" i="153" s="1"/>
  <c r="D92" i="153"/>
  <c r="E92" i="153" s="1"/>
  <c r="G87" i="153"/>
  <c r="D87" i="153"/>
  <c r="C87" i="153"/>
  <c r="G86" i="153"/>
  <c r="F86" i="153"/>
  <c r="D86" i="153"/>
  <c r="C86" i="153"/>
  <c r="E85" i="153"/>
  <c r="H85" i="153" s="1"/>
  <c r="G84" i="153"/>
  <c r="F84" i="153"/>
  <c r="F87" i="153" s="1"/>
  <c r="D84" i="153"/>
  <c r="C84" i="153"/>
  <c r="E83" i="153"/>
  <c r="H83" i="153" s="1"/>
  <c r="E82" i="153"/>
  <c r="H82" i="153" s="1"/>
  <c r="G80" i="153"/>
  <c r="F80" i="153"/>
  <c r="D80" i="153"/>
  <c r="C80" i="153"/>
  <c r="E79" i="153"/>
  <c r="H79" i="153" s="1"/>
  <c r="G78" i="153"/>
  <c r="F78" i="153"/>
  <c r="E77" i="153"/>
  <c r="H77" i="153" s="1"/>
  <c r="E76" i="153"/>
  <c r="H76" i="153" s="1"/>
  <c r="E75" i="153"/>
  <c r="H75" i="153" s="1"/>
  <c r="D75" i="153"/>
  <c r="D78" i="153" s="1"/>
  <c r="C75" i="153"/>
  <c r="C78" i="153" s="1"/>
  <c r="G74" i="153"/>
  <c r="G81" i="153" s="1"/>
  <c r="F74" i="153"/>
  <c r="F81" i="153" s="1"/>
  <c r="D74" i="153"/>
  <c r="D81" i="153" s="1"/>
  <c r="C74" i="153"/>
  <c r="C81" i="153" s="1"/>
  <c r="E73" i="153"/>
  <c r="H73" i="153" s="1"/>
  <c r="G71" i="153"/>
  <c r="F71" i="153"/>
  <c r="F72" i="153" s="1"/>
  <c r="D71" i="153"/>
  <c r="C71" i="153"/>
  <c r="E70" i="153"/>
  <c r="H70" i="153" s="1"/>
  <c r="E69" i="153"/>
  <c r="H69" i="153" s="1"/>
  <c r="G68" i="153"/>
  <c r="F68" i="153"/>
  <c r="D68" i="153"/>
  <c r="D72" i="153" s="1"/>
  <c r="C68" i="153"/>
  <c r="E67" i="153"/>
  <c r="H67" i="153" s="1"/>
  <c r="E66" i="153"/>
  <c r="H66" i="153" s="1"/>
  <c r="E65" i="153"/>
  <c r="H65" i="153" s="1"/>
  <c r="G64" i="153"/>
  <c r="F64" i="153"/>
  <c r="D64" i="153"/>
  <c r="C64" i="153"/>
  <c r="E63" i="153"/>
  <c r="H63" i="153" s="1"/>
  <c r="E62" i="153"/>
  <c r="H62" i="153" s="1"/>
  <c r="E61" i="153"/>
  <c r="H61" i="153" s="1"/>
  <c r="E60" i="153"/>
  <c r="H60" i="153" s="1"/>
  <c r="E59" i="153"/>
  <c r="H59" i="153" s="1"/>
  <c r="E58" i="153"/>
  <c r="H58" i="153" s="1"/>
  <c r="E57" i="153"/>
  <c r="H57" i="153" s="1"/>
  <c r="E56" i="153"/>
  <c r="H56" i="153" s="1"/>
  <c r="E55" i="153"/>
  <c r="H55" i="153" s="1"/>
  <c r="E54" i="153"/>
  <c r="H54" i="153" s="1"/>
  <c r="E53" i="153"/>
  <c r="H53" i="153" s="1"/>
  <c r="E52" i="153"/>
  <c r="E64" i="153" s="1"/>
  <c r="H64" i="153" s="1"/>
  <c r="G51" i="153"/>
  <c r="F51" i="153"/>
  <c r="D51" i="153"/>
  <c r="C51" i="153"/>
  <c r="E50" i="153"/>
  <c r="H50" i="153" s="1"/>
  <c r="E49" i="153"/>
  <c r="H49" i="153" s="1"/>
  <c r="E48" i="153"/>
  <c r="H48" i="153" s="1"/>
  <c r="E47" i="153"/>
  <c r="H47" i="153" s="1"/>
  <c r="G43" i="153"/>
  <c r="F43" i="153"/>
  <c r="D43" i="153"/>
  <c r="C43" i="153"/>
  <c r="E42" i="153"/>
  <c r="H42" i="153" s="1"/>
  <c r="E41" i="153"/>
  <c r="H41" i="153" s="1"/>
  <c r="E40" i="153"/>
  <c r="H40" i="153" s="1"/>
  <c r="E39" i="153"/>
  <c r="H39" i="153" s="1"/>
  <c r="E38" i="153"/>
  <c r="H38" i="153" s="1"/>
  <c r="E37" i="153"/>
  <c r="H37" i="153" s="1"/>
  <c r="E36" i="153"/>
  <c r="H36" i="153" s="1"/>
  <c r="E35" i="153"/>
  <c r="H35" i="153" s="1"/>
  <c r="E34" i="153"/>
  <c r="H34" i="153" s="1"/>
  <c r="E33" i="153"/>
  <c r="H33" i="153" s="1"/>
  <c r="E32" i="153"/>
  <c r="H32" i="153" s="1"/>
  <c r="E31" i="153"/>
  <c r="H31" i="153" s="1"/>
  <c r="E30" i="153"/>
  <c r="H30" i="153" s="1"/>
  <c r="E29" i="153"/>
  <c r="H29" i="153" s="1"/>
  <c r="E28" i="153"/>
  <c r="H28" i="153" s="1"/>
  <c r="E27" i="153"/>
  <c r="H27" i="153" s="1"/>
  <c r="E26" i="153"/>
  <c r="H26" i="153" s="1"/>
  <c r="E25" i="153"/>
  <c r="F24" i="153"/>
  <c r="F101" i="153" s="1"/>
  <c r="D24" i="153"/>
  <c r="C24" i="153"/>
  <c r="E23" i="153"/>
  <c r="H23" i="153" s="1"/>
  <c r="E22" i="153"/>
  <c r="H22" i="153" s="1"/>
  <c r="E21" i="153"/>
  <c r="H21" i="153" s="1"/>
  <c r="E20" i="153"/>
  <c r="H20" i="153" s="1"/>
  <c r="E19" i="153"/>
  <c r="H19" i="153" s="1"/>
  <c r="G18" i="153"/>
  <c r="E18" i="153"/>
  <c r="H18" i="153" s="1"/>
  <c r="H17" i="153"/>
  <c r="G17" i="153"/>
  <c r="E17" i="153"/>
  <c r="G16" i="153"/>
  <c r="H16" i="153" s="1"/>
  <c r="E16" i="153"/>
  <c r="G15" i="153"/>
  <c r="E15" i="153"/>
  <c r="H15" i="153" s="1"/>
  <c r="E14" i="153"/>
  <c r="H14" i="153" s="1"/>
  <c r="E13" i="153"/>
  <c r="H13" i="153" s="1"/>
  <c r="G12" i="153"/>
  <c r="G24" i="153" s="1"/>
  <c r="E12" i="153"/>
  <c r="H12" i="153" s="1"/>
  <c r="H11" i="153"/>
  <c r="E11" i="153"/>
  <c r="E10" i="153"/>
  <c r="H10" i="153" s="1"/>
  <c r="H9" i="153"/>
  <c r="H24" i="153" s="1"/>
  <c r="G9" i="153"/>
  <c r="E9" i="153"/>
  <c r="H99" i="154" l="1"/>
  <c r="E100" i="154"/>
  <c r="H98" i="153"/>
  <c r="E99" i="153"/>
  <c r="E43" i="153"/>
  <c r="H43" i="153" s="1"/>
  <c r="H25" i="153"/>
  <c r="G72" i="153"/>
  <c r="G101" i="153" s="1"/>
  <c r="C72" i="153"/>
  <c r="C101" i="153" s="1"/>
  <c r="E24" i="153"/>
  <c r="H92" i="153"/>
  <c r="E51" i="153"/>
  <c r="H51" i="153" s="1"/>
  <c r="E84" i="153"/>
  <c r="E86" i="153"/>
  <c r="H86" i="153" s="1"/>
  <c r="H52" i="153"/>
  <c r="E68" i="153"/>
  <c r="H68" i="153" s="1"/>
  <c r="E74" i="153"/>
  <c r="E93" i="153"/>
  <c r="H93" i="153" s="1"/>
  <c r="D99" i="153"/>
  <c r="D100" i="153" s="1"/>
  <c r="D101" i="153" s="1"/>
  <c r="E80" i="153"/>
  <c r="H80" i="153" s="1"/>
  <c r="E71" i="153"/>
  <c r="E78" i="153"/>
  <c r="H78" i="153" s="1"/>
  <c r="F100" i="152"/>
  <c r="G99" i="152"/>
  <c r="F99" i="152"/>
  <c r="C99" i="152"/>
  <c r="D98" i="152"/>
  <c r="E98" i="152" s="1"/>
  <c r="G97" i="152"/>
  <c r="F97" i="152"/>
  <c r="C97" i="152"/>
  <c r="C100" i="152" s="1"/>
  <c r="E96" i="152"/>
  <c r="H96" i="152" s="1"/>
  <c r="H95" i="152"/>
  <c r="E95" i="152"/>
  <c r="D95" i="152"/>
  <c r="H94" i="152"/>
  <c r="E94" i="152"/>
  <c r="D94" i="152"/>
  <c r="E93" i="152"/>
  <c r="H93" i="152" s="1"/>
  <c r="D93" i="152"/>
  <c r="D92" i="152"/>
  <c r="D97" i="152" s="1"/>
  <c r="D87" i="152"/>
  <c r="G86" i="152"/>
  <c r="F86" i="152"/>
  <c r="D86" i="152"/>
  <c r="C86" i="152"/>
  <c r="H85" i="152"/>
  <c r="E85" i="152"/>
  <c r="E86" i="152" s="1"/>
  <c r="H86" i="152" s="1"/>
  <c r="G84" i="152"/>
  <c r="G87" i="152" s="1"/>
  <c r="F84" i="152"/>
  <c r="F87" i="152" s="1"/>
  <c r="D84" i="152"/>
  <c r="C84" i="152"/>
  <c r="C87" i="152" s="1"/>
  <c r="H83" i="152"/>
  <c r="E83" i="152"/>
  <c r="E82" i="152"/>
  <c r="E84" i="152" s="1"/>
  <c r="G80" i="152"/>
  <c r="F80" i="152"/>
  <c r="D80" i="152"/>
  <c r="C80" i="152"/>
  <c r="H79" i="152"/>
  <c r="E79" i="152"/>
  <c r="E80" i="152" s="1"/>
  <c r="H80" i="152" s="1"/>
  <c r="G78" i="152"/>
  <c r="F78" i="152"/>
  <c r="H77" i="152"/>
  <c r="E77" i="152"/>
  <c r="E76" i="152"/>
  <c r="H76" i="152" s="1"/>
  <c r="D75" i="152"/>
  <c r="D78" i="152" s="1"/>
  <c r="C75" i="152"/>
  <c r="E75" i="152" s="1"/>
  <c r="G74" i="152"/>
  <c r="G81" i="152" s="1"/>
  <c r="F74" i="152"/>
  <c r="F81" i="152" s="1"/>
  <c r="D74" i="152"/>
  <c r="D81" i="152" s="1"/>
  <c r="C74" i="152"/>
  <c r="E73" i="152"/>
  <c r="H73" i="152" s="1"/>
  <c r="G71" i="152"/>
  <c r="G72" i="152" s="1"/>
  <c r="F71" i="152"/>
  <c r="F72" i="152" s="1"/>
  <c r="D71" i="152"/>
  <c r="C71" i="152"/>
  <c r="C72" i="152" s="1"/>
  <c r="H70" i="152"/>
  <c r="E70" i="152"/>
  <c r="E69" i="152"/>
  <c r="E71" i="152" s="1"/>
  <c r="G68" i="152"/>
  <c r="F68" i="152"/>
  <c r="D68" i="152"/>
  <c r="D72" i="152" s="1"/>
  <c r="C68" i="152"/>
  <c r="E67" i="152"/>
  <c r="H67" i="152" s="1"/>
  <c r="H66" i="152"/>
  <c r="E66" i="152"/>
  <c r="E65" i="152"/>
  <c r="H65" i="152" s="1"/>
  <c r="G64" i="152"/>
  <c r="F64" i="152"/>
  <c r="D64" i="152"/>
  <c r="C64" i="152"/>
  <c r="E63" i="152"/>
  <c r="H63" i="152" s="1"/>
  <c r="H62" i="152"/>
  <c r="E62" i="152"/>
  <c r="E61" i="152"/>
  <c r="H61" i="152" s="1"/>
  <c r="H60" i="152"/>
  <c r="E60" i="152"/>
  <c r="E59" i="152"/>
  <c r="H59" i="152" s="1"/>
  <c r="H58" i="152"/>
  <c r="E58" i="152"/>
  <c r="E57" i="152"/>
  <c r="H57" i="152" s="1"/>
  <c r="H56" i="152"/>
  <c r="E56" i="152"/>
  <c r="E55" i="152"/>
  <c r="H55" i="152" s="1"/>
  <c r="H54" i="152"/>
  <c r="E54" i="152"/>
  <c r="E53" i="152"/>
  <c r="H53" i="152" s="1"/>
  <c r="H52" i="152"/>
  <c r="E52" i="152"/>
  <c r="G51" i="152"/>
  <c r="F51" i="152"/>
  <c r="D51" i="152"/>
  <c r="C51" i="152"/>
  <c r="H50" i="152"/>
  <c r="E50" i="152"/>
  <c r="E49" i="152"/>
  <c r="H49" i="152" s="1"/>
  <c r="H48" i="152"/>
  <c r="E48" i="152"/>
  <c r="E47" i="152"/>
  <c r="E51" i="152" s="1"/>
  <c r="H51" i="152" s="1"/>
  <c r="G43" i="152"/>
  <c r="F43" i="152"/>
  <c r="D43" i="152"/>
  <c r="C43" i="152"/>
  <c r="E42" i="152"/>
  <c r="H42" i="152" s="1"/>
  <c r="H41" i="152"/>
  <c r="E41" i="152"/>
  <c r="E40" i="152"/>
  <c r="H40" i="152" s="1"/>
  <c r="H39" i="152"/>
  <c r="E39" i="152"/>
  <c r="E38" i="152"/>
  <c r="H38" i="152" s="1"/>
  <c r="H37" i="152"/>
  <c r="E37" i="152"/>
  <c r="E36" i="152"/>
  <c r="H36" i="152" s="1"/>
  <c r="H35" i="152"/>
  <c r="E35" i="152"/>
  <c r="E34" i="152"/>
  <c r="H34" i="152" s="1"/>
  <c r="H33" i="152"/>
  <c r="E33" i="152"/>
  <c r="E32" i="152"/>
  <c r="H32" i="152" s="1"/>
  <c r="H31" i="152"/>
  <c r="E31" i="152"/>
  <c r="E30" i="152"/>
  <c r="H30" i="152" s="1"/>
  <c r="H29" i="152"/>
  <c r="E29" i="152"/>
  <c r="E28" i="152"/>
  <c r="H28" i="152" s="1"/>
  <c r="H27" i="152"/>
  <c r="E27" i="152"/>
  <c r="E26" i="152"/>
  <c r="E43" i="152" s="1"/>
  <c r="H43" i="152" s="1"/>
  <c r="H25" i="152"/>
  <c r="E25" i="152"/>
  <c r="F24" i="152"/>
  <c r="F101" i="152" s="1"/>
  <c r="D24" i="152"/>
  <c r="C24" i="152"/>
  <c r="H23" i="152"/>
  <c r="E23" i="152"/>
  <c r="E22" i="152"/>
  <c r="H22" i="152" s="1"/>
  <c r="H21" i="152"/>
  <c r="E21" i="152"/>
  <c r="E20" i="152"/>
  <c r="H20" i="152" s="1"/>
  <c r="H19" i="152"/>
  <c r="E19" i="152"/>
  <c r="G18" i="152"/>
  <c r="E18" i="152"/>
  <c r="H18" i="152" s="1"/>
  <c r="G17" i="152"/>
  <c r="E17" i="152"/>
  <c r="H17" i="152" s="1"/>
  <c r="H16" i="152"/>
  <c r="G16" i="152"/>
  <c r="E16" i="152"/>
  <c r="G15" i="152"/>
  <c r="H15" i="152" s="1"/>
  <c r="E15" i="152"/>
  <c r="E14" i="152"/>
  <c r="H14" i="152" s="1"/>
  <c r="H13" i="152"/>
  <c r="E13" i="152"/>
  <c r="G12" i="152"/>
  <c r="G24" i="152" s="1"/>
  <c r="E12" i="152"/>
  <c r="H12" i="152" s="1"/>
  <c r="H11" i="152"/>
  <c r="E11" i="152"/>
  <c r="E10" i="152"/>
  <c r="H10" i="152" s="1"/>
  <c r="G9" i="152"/>
  <c r="E9" i="152"/>
  <c r="E24" i="152" s="1"/>
  <c r="E101" i="154" l="1"/>
  <c r="E102" i="154" s="1"/>
  <c r="H102" i="154" s="1"/>
  <c r="H100" i="154"/>
  <c r="H101" i="154" s="1"/>
  <c r="E97" i="153"/>
  <c r="H97" i="153" s="1"/>
  <c r="H99" i="153"/>
  <c r="H71" i="153"/>
  <c r="E72" i="153"/>
  <c r="H72" i="153" s="1"/>
  <c r="H74" i="153"/>
  <c r="E81" i="153"/>
  <c r="H81" i="153" s="1"/>
  <c r="H84" i="153"/>
  <c r="H87" i="153" s="1"/>
  <c r="E87" i="153"/>
  <c r="H71" i="152"/>
  <c r="H75" i="152"/>
  <c r="E78" i="152"/>
  <c r="H78" i="152" s="1"/>
  <c r="H98" i="152"/>
  <c r="E99" i="152"/>
  <c r="G101" i="152"/>
  <c r="H84" i="152"/>
  <c r="H87" i="152" s="1"/>
  <c r="E87" i="152"/>
  <c r="E64" i="152"/>
  <c r="H64" i="152" s="1"/>
  <c r="E68" i="152"/>
  <c r="H68" i="152" s="1"/>
  <c r="E74" i="152"/>
  <c r="D99" i="152"/>
  <c r="D100" i="152" s="1"/>
  <c r="D101" i="152" s="1"/>
  <c r="H26" i="152"/>
  <c r="H47" i="152"/>
  <c r="H69" i="152"/>
  <c r="H82" i="152"/>
  <c r="E92" i="152"/>
  <c r="C78" i="152"/>
  <c r="C81" i="152" s="1"/>
  <c r="C101" i="152" s="1"/>
  <c r="H9" i="152"/>
  <c r="H24" i="152" s="1"/>
  <c r="F100" i="151"/>
  <c r="G99" i="151"/>
  <c r="F99" i="151"/>
  <c r="C99" i="151"/>
  <c r="D98" i="151"/>
  <c r="E98" i="151" s="1"/>
  <c r="G97" i="151"/>
  <c r="F97" i="151"/>
  <c r="C97" i="151"/>
  <c r="C100" i="151" s="1"/>
  <c r="E96" i="151"/>
  <c r="H96" i="151" s="1"/>
  <c r="D95" i="151"/>
  <c r="E95" i="151" s="1"/>
  <c r="H95" i="151" s="1"/>
  <c r="H94" i="151"/>
  <c r="E94" i="151"/>
  <c r="D94" i="151"/>
  <c r="E93" i="151"/>
  <c r="H93" i="151" s="1"/>
  <c r="D93" i="151"/>
  <c r="D92" i="151"/>
  <c r="D97" i="151" s="1"/>
  <c r="D87" i="151"/>
  <c r="G86" i="151"/>
  <c r="F86" i="151"/>
  <c r="D86" i="151"/>
  <c r="C86" i="151"/>
  <c r="H85" i="151"/>
  <c r="E85" i="151"/>
  <c r="E86" i="151" s="1"/>
  <c r="H86" i="151" s="1"/>
  <c r="G84" i="151"/>
  <c r="G87" i="151" s="1"/>
  <c r="F84" i="151"/>
  <c r="F87" i="151" s="1"/>
  <c r="D84" i="151"/>
  <c r="C84" i="151"/>
  <c r="C87" i="151" s="1"/>
  <c r="H83" i="151"/>
  <c r="E83" i="151"/>
  <c r="E82" i="151"/>
  <c r="E84" i="151" s="1"/>
  <c r="G80" i="151"/>
  <c r="F80" i="151"/>
  <c r="D80" i="151"/>
  <c r="C80" i="151"/>
  <c r="H79" i="151"/>
  <c r="E79" i="151"/>
  <c r="E80" i="151" s="1"/>
  <c r="H80" i="151" s="1"/>
  <c r="G78" i="151"/>
  <c r="F78" i="151"/>
  <c r="H77" i="151"/>
  <c r="E77" i="151"/>
  <c r="E76" i="151"/>
  <c r="H76" i="151" s="1"/>
  <c r="D75" i="151"/>
  <c r="D78" i="151" s="1"/>
  <c r="C75" i="151"/>
  <c r="E75" i="151" s="1"/>
  <c r="G74" i="151"/>
  <c r="G81" i="151" s="1"/>
  <c r="F74" i="151"/>
  <c r="F81" i="151" s="1"/>
  <c r="D74" i="151"/>
  <c r="D81" i="151" s="1"/>
  <c r="C74" i="151"/>
  <c r="E73" i="151"/>
  <c r="H73" i="151" s="1"/>
  <c r="G71" i="151"/>
  <c r="G72" i="151" s="1"/>
  <c r="F71" i="151"/>
  <c r="F72" i="151" s="1"/>
  <c r="D71" i="151"/>
  <c r="C71" i="151"/>
  <c r="C72" i="151" s="1"/>
  <c r="H70" i="151"/>
  <c r="E70" i="151"/>
  <c r="E69" i="151"/>
  <c r="E71" i="151" s="1"/>
  <c r="G68" i="151"/>
  <c r="F68" i="151"/>
  <c r="E68" i="151"/>
  <c r="H68" i="151" s="1"/>
  <c r="D68" i="151"/>
  <c r="D72" i="151" s="1"/>
  <c r="C68" i="151"/>
  <c r="E67" i="151"/>
  <c r="H67" i="151" s="1"/>
  <c r="H66" i="151"/>
  <c r="E66" i="151"/>
  <c r="E65" i="151"/>
  <c r="H65" i="151" s="1"/>
  <c r="G64" i="151"/>
  <c r="F64" i="151"/>
  <c r="D64" i="151"/>
  <c r="C64" i="151"/>
  <c r="E63" i="151"/>
  <c r="H63" i="151" s="1"/>
  <c r="H62" i="151"/>
  <c r="E62" i="151"/>
  <c r="E61" i="151"/>
  <c r="H61" i="151" s="1"/>
  <c r="H60" i="151"/>
  <c r="E60" i="151"/>
  <c r="E59" i="151"/>
  <c r="H59" i="151" s="1"/>
  <c r="H58" i="151"/>
  <c r="E58" i="151"/>
  <c r="E57" i="151"/>
  <c r="H57" i="151" s="1"/>
  <c r="H56" i="151"/>
  <c r="E56" i="151"/>
  <c r="E55" i="151"/>
  <c r="H55" i="151" s="1"/>
  <c r="H54" i="151"/>
  <c r="E54" i="151"/>
  <c r="E53" i="151"/>
  <c r="E64" i="151" s="1"/>
  <c r="H64" i="151" s="1"/>
  <c r="H52" i="151"/>
  <c r="E52" i="151"/>
  <c r="G51" i="151"/>
  <c r="F51" i="151"/>
  <c r="D51" i="151"/>
  <c r="C51" i="151"/>
  <c r="H50" i="151"/>
  <c r="E50" i="151"/>
  <c r="E49" i="151"/>
  <c r="H49" i="151" s="1"/>
  <c r="H48" i="151"/>
  <c r="E48" i="151"/>
  <c r="E47" i="151"/>
  <c r="E51" i="151" s="1"/>
  <c r="H51" i="151" s="1"/>
  <c r="G43" i="151"/>
  <c r="F43" i="151"/>
  <c r="D43" i="151"/>
  <c r="C43" i="151"/>
  <c r="E42" i="151"/>
  <c r="H42" i="151" s="1"/>
  <c r="H41" i="151"/>
  <c r="E41" i="151"/>
  <c r="E40" i="151"/>
  <c r="H40" i="151" s="1"/>
  <c r="H39" i="151"/>
  <c r="E39" i="151"/>
  <c r="E38" i="151"/>
  <c r="H38" i="151" s="1"/>
  <c r="H37" i="151"/>
  <c r="E37" i="151"/>
  <c r="E36" i="151"/>
  <c r="H36" i="151" s="1"/>
  <c r="H35" i="151"/>
  <c r="E35" i="151"/>
  <c r="E34" i="151"/>
  <c r="H34" i="151" s="1"/>
  <c r="H33" i="151"/>
  <c r="E33" i="151"/>
  <c r="E32" i="151"/>
  <c r="H32" i="151" s="1"/>
  <c r="H31" i="151"/>
  <c r="E31" i="151"/>
  <c r="E30" i="151"/>
  <c r="H30" i="151" s="1"/>
  <c r="H29" i="151"/>
  <c r="E29" i="151"/>
  <c r="E28" i="151"/>
  <c r="H28" i="151" s="1"/>
  <c r="H27" i="151"/>
  <c r="E27" i="151"/>
  <c r="E26" i="151"/>
  <c r="E43" i="151" s="1"/>
  <c r="H43" i="151" s="1"/>
  <c r="H25" i="151"/>
  <c r="E25" i="151"/>
  <c r="F24" i="151"/>
  <c r="D24" i="151"/>
  <c r="C24" i="151"/>
  <c r="H23" i="151"/>
  <c r="E23" i="151"/>
  <c r="E22" i="151"/>
  <c r="H22" i="151" s="1"/>
  <c r="H21" i="151"/>
  <c r="E21" i="151"/>
  <c r="E20" i="151"/>
  <c r="H20" i="151" s="1"/>
  <c r="H19" i="151"/>
  <c r="E19" i="151"/>
  <c r="G18" i="151"/>
  <c r="E18" i="151"/>
  <c r="H18" i="151" s="1"/>
  <c r="G17" i="151"/>
  <c r="E17" i="151"/>
  <c r="H17" i="151" s="1"/>
  <c r="H16" i="151"/>
  <c r="G16" i="151"/>
  <c r="E16" i="151"/>
  <c r="H15" i="151"/>
  <c r="G15" i="151"/>
  <c r="E15" i="151"/>
  <c r="E14" i="151"/>
  <c r="H14" i="151" s="1"/>
  <c r="H13" i="151"/>
  <c r="E13" i="151"/>
  <c r="G12" i="151"/>
  <c r="G24" i="151" s="1"/>
  <c r="E12" i="151"/>
  <c r="H12" i="151" s="1"/>
  <c r="E11" i="151"/>
  <c r="H11" i="151" s="1"/>
  <c r="H10" i="151"/>
  <c r="E10" i="151"/>
  <c r="G9" i="151"/>
  <c r="E9" i="151"/>
  <c r="E24" i="151" s="1"/>
  <c r="H100" i="153" l="1"/>
  <c r="E101" i="153"/>
  <c r="H101" i="153" s="1"/>
  <c r="E100" i="153"/>
  <c r="H92" i="152"/>
  <c r="E97" i="152"/>
  <c r="H97" i="152" s="1"/>
  <c r="H99" i="152"/>
  <c r="H74" i="152"/>
  <c r="E81" i="152"/>
  <c r="H81" i="152" s="1"/>
  <c r="E72" i="152"/>
  <c r="H84" i="151"/>
  <c r="H87" i="151" s="1"/>
  <c r="E87" i="151"/>
  <c r="H98" i="151"/>
  <c r="E99" i="151"/>
  <c r="G101" i="151"/>
  <c r="F101" i="151"/>
  <c r="E72" i="151"/>
  <c r="H72" i="151" s="1"/>
  <c r="H71" i="151"/>
  <c r="H75" i="151"/>
  <c r="E78" i="151"/>
  <c r="H78" i="151" s="1"/>
  <c r="E74" i="151"/>
  <c r="D99" i="151"/>
  <c r="D100" i="151" s="1"/>
  <c r="D101" i="151" s="1"/>
  <c r="H26" i="151"/>
  <c r="H47" i="151"/>
  <c r="H53" i="151"/>
  <c r="H69" i="151"/>
  <c r="H82" i="151"/>
  <c r="E92" i="151"/>
  <c r="C78" i="151"/>
  <c r="C81" i="151" s="1"/>
  <c r="C101" i="151" s="1"/>
  <c r="H9" i="151"/>
  <c r="H24" i="151" s="1"/>
  <c r="F100" i="150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100" i="152" l="1"/>
  <c r="H72" i="152"/>
  <c r="E100" i="152"/>
  <c r="E101" i="152" s="1"/>
  <c r="H101" i="152" s="1"/>
  <c r="H74" i="151"/>
  <c r="E81" i="151"/>
  <c r="H81" i="151" s="1"/>
  <c r="H92" i="151"/>
  <c r="E97" i="151"/>
  <c r="H97" i="151" s="1"/>
  <c r="E100" i="151"/>
  <c r="H99" i="151"/>
  <c r="H100" i="151" s="1"/>
  <c r="H71" i="150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1" l="1"/>
  <c r="H101" i="151" s="1"/>
  <c r="E101" i="150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<sst xmlns="http://schemas.openxmlformats.org/spreadsheetml/2006/main" count="1373" uniqueCount="95">
  <si>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</si>
  <si>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</si>
  <si>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</si>
  <si>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</si>
  <si>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</si>
  <si>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</si>
  <si>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</si>
  <si>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</si>
  <si>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</si>
  <si>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</si>
  <si>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</si>
  <si>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</si>
  <si>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</si>
  <si>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</si>
  <si>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</si>
  <si>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</si>
  <si>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</si>
  <si>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</si>
  <si>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</si>
  <si>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</si>
  <si>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</si>
  <si>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</si>
  <si>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</si>
  <si>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</si>
  <si>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</si>
  <si>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</si>
  <si>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</si>
  <si>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</si>
  <si>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</si>
  <si>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</si>
  <si>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</si>
  <si>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</si>
  <si>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</si>
  <si>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</si>
  <si>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</si>
  <si>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</si>
  <si>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</si>
  <si>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</si>
  <si>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</si>
  <si>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</si>
  <si>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</si>
  <si>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</si>
  <si>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</si>
  <si>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</si>
  <si>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</si>
  <si>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</si>
  <si>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</si>
  <si>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</si>
  <si>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</si>
  <si>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</si>
  <si>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</si>
  <si>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</si>
  <si>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</si>
  <si>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</si>
  <si>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</si>
  <si>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</si>
  <si>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</si>
  <si>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</si>
  <si>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</si>
  <si>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</si>
  <si>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</si>
  <si>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</si>
  <si>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</si>
  <si>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</si>
  <si>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</si>
  <si>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</si>
  <si>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</si>
  <si>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</si>
  <si>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</si>
  <si>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</si>
  <si>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</si>
  <si>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</si>
  <si>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</si>
  <si>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</si>
  <si>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</si>
  <si>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</si>
  <si>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</si>
  <si>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</si>
  <si>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</si>
  <si>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</si>
  <si>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</si>
  <si>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</si>
  <si>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</si>
  <si>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</si>
  <si>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</si>
  <si>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</si>
  <si>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</si>
  <si>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</si>
  <si>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</si>
  <si>
    <t>AL 31 DE AGOSTO DE 2019</t>
  </si>
  <si>
    <t>AL 30 DE SEPTIEMBRE DE 2019</t>
  </si>
  <si>
    <t>AL 31 DE OCTUBRE DE 2019</t>
  </si>
  <si>
    <t>AL 30 DE NOVIEMBRE DE 2019</t>
  </si>
  <si>
    <t>Vehiculos de Transporte</t>
  </si>
  <si>
    <t>AL 31 DE DICIEMBRE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</si>
</sst>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0" fillId="0" borderId="0" xfId="0" applyNumberForma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10" borderId="25" xfId="2" applyFont="1" applyFill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94" t="s">
        <v>50</v>
      </c>
      <c r="C2" s="194"/>
      <c r="D2" s="194"/>
      <c r="E2" s="194"/>
      <c r="F2" s="194"/>
      <c r="G2" s="194"/>
      <c r="H2" s="194"/>
      <c r="I2" s="194"/>
    </row>
    <row r="3" spans="1:9" ht="14.25" x14ac:dyDescent="0.2">
      <c r="A3" s="16"/>
      <c r="B3" s="195" t="s">
        <v>51</v>
      </c>
      <c r="C3" s="195"/>
      <c r="D3" s="195"/>
      <c r="E3" s="195"/>
      <c r="F3" s="195"/>
      <c r="G3" s="32"/>
      <c r="H3" s="16"/>
      <c r="I3" s="16"/>
    </row>
    <row r="4" spans="1:9" ht="14.25" x14ac:dyDescent="0.2">
      <c r="A4" s="17"/>
      <c r="B4" s="195" t="s">
        <v>62</v>
      </c>
      <c r="C4" s="195"/>
      <c r="D4" s="195"/>
      <c r="E4" s="195"/>
      <c r="F4" s="195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93" t="s">
        <v>61</v>
      </c>
      <c r="B6" s="193"/>
      <c r="C6" s="193"/>
      <c r="D6" s="193"/>
      <c r="E6" s="193"/>
      <c r="F6" s="193"/>
      <c r="G6" s="193"/>
      <c r="H6" s="193"/>
      <c r="I6" s="16"/>
    </row>
    <row r="7" spans="1:9" ht="14.25" x14ac:dyDescent="0.2">
      <c r="A7" s="35"/>
      <c r="B7" s="193" t="s">
        <v>77</v>
      </c>
      <c r="C7" s="193"/>
      <c r="D7" s="193"/>
      <c r="E7" s="193"/>
      <c r="F7" s="193"/>
      <c r="G7" s="193"/>
      <c r="H7" s="193"/>
      <c r="I7" s="16"/>
    </row>
    <row r="8" spans="1:9" ht="15" thickBot="1" x14ac:dyDescent="0.25">
      <c r="A8" s="193"/>
      <c r="B8" s="193"/>
      <c r="C8" s="193"/>
      <c r="D8" s="193"/>
      <c r="E8" s="193"/>
      <c r="F8" s="193"/>
      <c r="G8" s="193"/>
      <c r="H8" s="193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03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02"/>
      <c r="B6" s="193" t="s">
        <v>80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05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04"/>
      <c r="B6" s="193" t="s">
        <v>83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23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22"/>
      <c r="B6" s="193" t="s">
        <v>84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97" t="s">
        <v>50</v>
      </c>
      <c r="C1" s="197"/>
      <c r="D1" s="197"/>
      <c r="E1" s="197"/>
      <c r="F1" s="197"/>
      <c r="G1" s="197"/>
      <c r="H1" s="197"/>
      <c r="I1" s="197"/>
    </row>
    <row r="2" spans="1:9" ht="14.25" x14ac:dyDescent="0.2">
      <c r="A2" s="126"/>
      <c r="B2" s="198" t="s">
        <v>51</v>
      </c>
      <c r="C2" s="198"/>
      <c r="D2" s="198"/>
      <c r="E2" s="198"/>
      <c r="F2" s="198"/>
      <c r="G2" s="128"/>
      <c r="H2" s="126"/>
      <c r="I2" s="126"/>
    </row>
    <row r="3" spans="1:9" ht="14.25" x14ac:dyDescent="0.2">
      <c r="A3" s="129"/>
      <c r="B3" s="198" t="s">
        <v>62</v>
      </c>
      <c r="C3" s="198"/>
      <c r="D3" s="198"/>
      <c r="E3" s="198"/>
      <c r="F3" s="198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96" t="s">
        <v>61</v>
      </c>
      <c r="B5" s="196"/>
      <c r="C5" s="196"/>
      <c r="D5" s="196"/>
      <c r="E5" s="196"/>
      <c r="F5" s="196"/>
      <c r="G5" s="196"/>
      <c r="H5" s="196"/>
      <c r="I5" s="126"/>
    </row>
    <row r="6" spans="1:9" ht="14.25" x14ac:dyDescent="0.2">
      <c r="A6" s="130"/>
      <c r="B6" s="196" t="s">
        <v>85</v>
      </c>
      <c r="C6" s="196"/>
      <c r="D6" s="196"/>
      <c r="E6" s="196"/>
      <c r="F6" s="196"/>
      <c r="G6" s="196"/>
      <c r="H6" s="196"/>
      <c r="I6" s="126"/>
    </row>
    <row r="7" spans="1:9" ht="15" thickBot="1" x14ac:dyDescent="0.25">
      <c r="A7" s="196"/>
      <c r="B7" s="196"/>
      <c r="C7" s="196"/>
      <c r="D7" s="196"/>
      <c r="E7" s="196"/>
      <c r="F7" s="196"/>
      <c r="G7" s="196"/>
      <c r="H7" s="196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25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24"/>
      <c r="B6" s="193" t="s">
        <v>87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79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78"/>
      <c r="B6" s="193" t="s">
        <v>88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0" workbookViewId="0">
      <selection activeCell="F51" sqref="F5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82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82"/>
      <c r="H3" s="17"/>
      <c r="I3" s="16"/>
    </row>
    <row r="4" spans="1:9" ht="14.25" x14ac:dyDescent="0.2">
      <c r="A4" s="17"/>
      <c r="B4" s="182"/>
      <c r="C4" s="182"/>
      <c r="D4" s="182"/>
      <c r="E4" s="182"/>
      <c r="F4" s="182"/>
      <c r="G4" s="182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81"/>
      <c r="B6" s="193" t="s">
        <v>89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3168332.26</v>
      </c>
      <c r="G9" s="106">
        <f>92635.38-21086.74</f>
        <v>71548.639999999999</v>
      </c>
      <c r="H9" s="107">
        <f t="shared" ref="H9:H72" si="0">+E9-F9-G9</f>
        <v>1626196.2600000005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738440.86</v>
      </c>
      <c r="G12" s="106">
        <f>36855.38-8931.95</f>
        <v>27923.429999999997</v>
      </c>
      <c r="H12" s="107">
        <f t="shared" si="0"/>
        <v>392139.12999999995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189954.11</v>
      </c>
      <c r="G15" s="106">
        <f>25904.87-4357.94</f>
        <v>21546.93</v>
      </c>
      <c r="H15" s="107">
        <f t="shared" si="0"/>
        <v>107649.84000000003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41055.050000000003</v>
      </c>
      <c r="G16" s="106">
        <f>2506.88-449.18</f>
        <v>2057.7000000000003</v>
      </c>
      <c r="H16" s="107">
        <f t="shared" si="0"/>
        <v>22144.959999999995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211884.3</v>
      </c>
      <c r="G17" s="106">
        <f>31251.93-4129.23</f>
        <v>27122.7</v>
      </c>
      <c r="H17" s="107">
        <f t="shared" si="0"/>
        <v>121244.92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54494.84</v>
      </c>
      <c r="G18" s="106">
        <f>5679.05-793.84</f>
        <v>4885.21</v>
      </c>
      <c r="H18" s="107">
        <f t="shared" si="0"/>
        <v>30447.080000000009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30054.81</v>
      </c>
      <c r="G19" s="106">
        <v>1031.27</v>
      </c>
      <c r="H19" s="107">
        <f t="shared" si="0"/>
        <v>15538.919999999998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42328.63</v>
      </c>
      <c r="G22" s="106">
        <v>5421.37</v>
      </c>
      <c r="H22" s="107">
        <f t="shared" si="0"/>
        <v>23700.000000000004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4651604.9299999988</v>
      </c>
      <c r="G24" s="92">
        <f t="shared" si="2"/>
        <v>167542.17999999996</v>
      </c>
      <c r="H24" s="95">
        <f t="shared" si="2"/>
        <v>3032774.01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11014.96</v>
      </c>
      <c r="E25" s="106">
        <f t="shared" ref="E25:E42" si="3">+C25+D25</f>
        <v>79044.959999999992</v>
      </c>
      <c r="F25" s="106">
        <v>65515.95</v>
      </c>
      <c r="G25" s="106">
        <v>2332.5</v>
      </c>
      <c r="H25" s="107">
        <f t="shared" si="0"/>
        <v>11196.509999999995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204.04</v>
      </c>
      <c r="H27" s="107">
        <f t="shared" si="0"/>
        <v>47365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3651.42</v>
      </c>
      <c r="E28" s="106">
        <f t="shared" si="3"/>
        <v>27326.42</v>
      </c>
      <c r="F28" s="106">
        <v>23172.27</v>
      </c>
      <c r="G28" s="106">
        <v>116.5</v>
      </c>
      <c r="H28" s="107">
        <f t="shared" si="0"/>
        <v>4037.6499999999978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637.29999999999995</v>
      </c>
      <c r="E30" s="106">
        <f t="shared" si="3"/>
        <v>12737.3</v>
      </c>
      <c r="F30" s="106">
        <v>12037.07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482</v>
      </c>
      <c r="H36" s="107">
        <f t="shared" si="0"/>
        <v>350.00000000000011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71</v>
      </c>
      <c r="E38" s="106">
        <f t="shared" si="3"/>
        <v>12271</v>
      </c>
      <c r="F38" s="106">
        <v>11785.2</v>
      </c>
      <c r="G38" s="106">
        <v>45.8</v>
      </c>
      <c r="H38" s="107">
        <f t="shared" si="0"/>
        <v>439.99999999999926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1708.9</v>
      </c>
      <c r="G40" s="106">
        <v>31.8</v>
      </c>
      <c r="H40" s="107">
        <f t="shared" si="0"/>
        <v>475.7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30812.31</v>
      </c>
      <c r="E42" s="106">
        <f t="shared" si="3"/>
        <v>488631.31</v>
      </c>
      <c r="F42" s="106">
        <v>463811.77</v>
      </c>
      <c r="G42" s="106">
        <v>4874.2299999999996</v>
      </c>
      <c r="H42" s="111">
        <f t="shared" si="0"/>
        <v>19945.309999999979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50841.14</v>
      </c>
      <c r="E43" s="46">
        <f>SUM(E25:E42)</f>
        <v>754390.1399999999</v>
      </c>
      <c r="F43" s="46">
        <f>SUM(F25:F42)</f>
        <v>650084.07000000007</v>
      </c>
      <c r="G43" s="46">
        <f>SUM(G25:G42)</f>
        <v>8301.73</v>
      </c>
      <c r="H43" s="47">
        <f t="shared" si="0"/>
        <v>96004.339999999836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361.41</v>
      </c>
      <c r="E47" s="106">
        <f t="shared" ref="E47:E50" si="4">+C47+D47</f>
        <v>179196.41</v>
      </c>
      <c r="F47" s="106">
        <v>113921.8</v>
      </c>
      <c r="G47" s="106">
        <v>2966.88</v>
      </c>
      <c r="H47" s="113">
        <f t="shared" si="0"/>
        <v>62307.73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13223.79</v>
      </c>
      <c r="G48" s="106">
        <v>6808.16</v>
      </c>
      <c r="H48" s="107">
        <f t="shared" si="0"/>
        <v>16424.639999999996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110888.39</v>
      </c>
      <c r="G49" s="106">
        <v>6698.14</v>
      </c>
      <c r="H49" s="111">
        <f t="shared" si="0"/>
        <v>30774.070000000007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238097.28999999998</v>
      </c>
      <c r="G51" s="30">
        <f>SUM(G47:G50)</f>
        <v>16473.18</v>
      </c>
      <c r="H51" s="33">
        <f t="shared" si="0"/>
        <v>109756.44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15678.76</v>
      </c>
      <c r="G52" s="106">
        <v>520.36</v>
      </c>
      <c r="H52" s="114">
        <f t="shared" si="0"/>
        <v>3126.3399999999988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45539.65</v>
      </c>
      <c r="G53" s="106">
        <v>1412.2</v>
      </c>
      <c r="H53" s="107">
        <f t="shared" si="0"/>
        <v>15812.27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11209.3</v>
      </c>
      <c r="G59" s="106">
        <v>128.5</v>
      </c>
      <c r="H59" s="114">
        <f t="shared" si="0"/>
        <v>6128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7955.31</v>
      </c>
      <c r="E60" s="106">
        <f t="shared" si="5"/>
        <v>36055.31</v>
      </c>
      <c r="F60" s="106">
        <v>12433.41</v>
      </c>
      <c r="G60" s="106">
        <v>2321.9</v>
      </c>
      <c r="H60" s="114">
        <f t="shared" si="0"/>
        <v>21299.999999999996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-47054.069999999992</v>
      </c>
      <c r="E64" s="30">
        <f>SUM(E52:E63)</f>
        <v>852065.93</v>
      </c>
      <c r="F64" s="30">
        <f>SUM(F52:F63)</f>
        <v>756475.88000000012</v>
      </c>
      <c r="G64" s="30">
        <f>SUM(G52:G63)</f>
        <v>5884.07</v>
      </c>
      <c r="H64" s="33">
        <f t="shared" si="0"/>
        <v>89705.979999999923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5112</v>
      </c>
      <c r="G66" s="106">
        <v>2381</v>
      </c>
      <c r="H66" s="114">
        <f t="shared" si="0"/>
        <v>4654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24470</v>
      </c>
      <c r="G67" s="106">
        <v>200</v>
      </c>
      <c r="H67" s="114">
        <f t="shared" si="0"/>
        <v>6400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24432.35</v>
      </c>
      <c r="E68" s="30">
        <f>SUM(E65:E67)</f>
        <v>63892.35</v>
      </c>
      <c r="F68" s="30">
        <f>SUM(F65:F67)</f>
        <v>48257.35</v>
      </c>
      <c r="G68" s="30">
        <f>SUM(G65:G67)</f>
        <v>2581</v>
      </c>
      <c r="H68" s="33">
        <f t="shared" si="0"/>
        <v>13054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-23970.799999999999</v>
      </c>
      <c r="E70" s="106">
        <f t="shared" si="7"/>
        <v>12029.2</v>
      </c>
      <c r="F70" s="106">
        <v>0</v>
      </c>
      <c r="G70" s="106">
        <v>395.5</v>
      </c>
      <c r="H70" s="114">
        <f t="shared" si="0"/>
        <v>11633.7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-21421.329999999998</v>
      </c>
      <c r="E71" s="30">
        <f>SUM(E69:E70)</f>
        <v>16578.669999999998</v>
      </c>
      <c r="F71" s="30">
        <f>SUM(F69:F70)</f>
        <v>4549.47</v>
      </c>
      <c r="G71" s="30">
        <f>SUM(G69:G70)</f>
        <v>395.5</v>
      </c>
      <c r="H71" s="114">
        <f t="shared" si="0"/>
        <v>11633.699999999997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1697464.06</v>
      </c>
      <c r="G72" s="90">
        <f>+G71+G68+G64+G51+G43</f>
        <v>33635.479999999996</v>
      </c>
      <c r="H72" s="97">
        <f t="shared" si="0"/>
        <v>320154.45999999996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9824.9</v>
      </c>
      <c r="G92" s="117">
        <v>0</v>
      </c>
      <c r="H92" s="113">
        <f t="shared" si="8"/>
        <v>466.47999999999956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6525.92</v>
      </c>
      <c r="G93" s="108">
        <v>0</v>
      </c>
      <c r="H93" s="114">
        <f t="shared" si="8"/>
        <v>1202.9099999999999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0</v>
      </c>
      <c r="G94" s="108">
        <v>0</v>
      </c>
      <c r="H94" s="114">
        <f t="shared" si="8"/>
        <v>55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60249.71</v>
      </c>
      <c r="G95" s="108">
        <v>0</v>
      </c>
      <c r="H95" s="114">
        <f t="shared" si="8"/>
        <v>385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80351.41</v>
      </c>
      <c r="G97" s="30">
        <f>SUM(G96)</f>
        <v>0</v>
      </c>
      <c r="H97" s="33">
        <f t="shared" si="8"/>
        <v>2109.3899999999994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6896.43</v>
      </c>
      <c r="G98" s="101">
        <v>0</v>
      </c>
      <c r="H98" s="114">
        <f t="shared" si="8"/>
        <v>1191.8199999999997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6896.43</v>
      </c>
      <c r="G99" s="73">
        <f>SUM(G98)</f>
        <v>0</v>
      </c>
      <c r="H99" s="180">
        <f t="shared" si="8"/>
        <v>1191.8199999999997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87247.84</v>
      </c>
      <c r="G100" s="87">
        <v>0</v>
      </c>
      <c r="H100" s="99">
        <f>+H99+H97</f>
        <v>3301.2099999999991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6523439.1399999978</v>
      </c>
      <c r="G101" s="88">
        <f>+G24+G72+G81+G100+G87</f>
        <v>208301.66999999998</v>
      </c>
      <c r="H101" s="100">
        <f>+E101-F101-G101</f>
        <v>3455663.1900000041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AGO - 19&amp;R&amp;P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workbookViewId="0">
      <selection activeCell="G17" sqref="G1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84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84"/>
      <c r="H3" s="17"/>
      <c r="I3" s="16"/>
    </row>
    <row r="4" spans="1:9" ht="14.25" x14ac:dyDescent="0.2">
      <c r="A4" s="17"/>
      <c r="B4" s="184"/>
      <c r="C4" s="184"/>
      <c r="D4" s="184"/>
      <c r="E4" s="184"/>
      <c r="F4" s="184"/>
      <c r="G4" s="184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83"/>
      <c r="B6" s="193" t="s">
        <v>90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3562366.03</v>
      </c>
      <c r="G9" s="106">
        <f>105149.43-21086.74</f>
        <v>84062.689999999988</v>
      </c>
      <c r="H9" s="107">
        <f t="shared" ref="H9:H72" si="0">+E9-F9-G9</f>
        <v>1219648.4400000004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829577.13</v>
      </c>
      <c r="G12" s="106">
        <f>43753.13-8931.95</f>
        <v>34821.179999999993</v>
      </c>
      <c r="H12" s="107">
        <f t="shared" si="0"/>
        <v>294105.10999999993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213717.08</v>
      </c>
      <c r="G15" s="106">
        <f>29053.35-4357.94</f>
        <v>24695.41</v>
      </c>
      <c r="H15" s="107">
        <f t="shared" si="0"/>
        <v>80738.390000000014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46104.5</v>
      </c>
      <c r="G16" s="106">
        <f>2990.42-449.18</f>
        <v>2541.2400000000002</v>
      </c>
      <c r="H16" s="107">
        <f t="shared" si="0"/>
        <v>16611.969999999998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238188.7</v>
      </c>
      <c r="G17" s="106">
        <f>35256.39-4129.23</f>
        <v>31127.16</v>
      </c>
      <c r="H17" s="107">
        <f t="shared" si="0"/>
        <v>90936.059999999969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60941.29</v>
      </c>
      <c r="G18" s="106">
        <f>6842.87-793.84</f>
        <v>6049.03</v>
      </c>
      <c r="H18" s="107">
        <f t="shared" si="0"/>
        <v>22836.810000000005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33004.080000000002</v>
      </c>
      <c r="G19" s="106">
        <v>1967.76</v>
      </c>
      <c r="H19" s="107">
        <f t="shared" si="0"/>
        <v>11653.159999999998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52414.91</v>
      </c>
      <c r="G22" s="106">
        <v>5885.09</v>
      </c>
      <c r="H22" s="107">
        <f t="shared" si="0"/>
        <v>13149.999999999996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5211373.790000001</v>
      </c>
      <c r="G24" s="92">
        <f t="shared" si="2"/>
        <v>197154.48999999996</v>
      </c>
      <c r="H24" s="95">
        <f t="shared" si="2"/>
        <v>2443392.8400000008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12605.84</v>
      </c>
      <c r="E25" s="106">
        <f t="shared" ref="E25:E42" si="3">+C25+D25</f>
        <v>80635.839999999997</v>
      </c>
      <c r="F25" s="106">
        <v>67979.83</v>
      </c>
      <c r="G25" s="106">
        <v>2332.5</v>
      </c>
      <c r="H25" s="107">
        <f t="shared" si="0"/>
        <v>10323.509999999995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3657.22</v>
      </c>
      <c r="E28" s="106">
        <f t="shared" si="3"/>
        <v>27332.22</v>
      </c>
      <c r="F28" s="106">
        <v>23215.72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733.5</v>
      </c>
      <c r="E38" s="106">
        <f t="shared" si="3"/>
        <v>12933.5</v>
      </c>
      <c r="F38" s="106">
        <v>12537.7</v>
      </c>
      <c r="G38" s="106">
        <v>45.8</v>
      </c>
      <c r="H38" s="107">
        <f t="shared" si="0"/>
        <v>349.99999999999926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719.44</v>
      </c>
      <c r="E40" s="106">
        <f t="shared" si="3"/>
        <v>2319.44</v>
      </c>
      <c r="F40" s="106">
        <v>2037.64</v>
      </c>
      <c r="G40" s="106">
        <v>31.8</v>
      </c>
      <c r="H40" s="107">
        <f t="shared" si="0"/>
        <v>249.99999999999994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29164.29</v>
      </c>
      <c r="E42" s="106">
        <f t="shared" si="3"/>
        <v>486983.29</v>
      </c>
      <c r="F42" s="106">
        <v>463952.77</v>
      </c>
      <c r="G42" s="106">
        <v>4874.2299999999996</v>
      </c>
      <c r="H42" s="111">
        <f t="shared" si="0"/>
        <v>18156.289999999961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53816.680000000008</v>
      </c>
      <c r="E43" s="46">
        <f>SUM(E25:E42)</f>
        <v>757365.67999999993</v>
      </c>
      <c r="F43" s="46">
        <f>SUM(F25:F42)</f>
        <v>666149.98</v>
      </c>
      <c r="G43" s="46">
        <f>SUM(G25:G42)</f>
        <v>8301.73</v>
      </c>
      <c r="H43" s="47">
        <f t="shared" si="0"/>
        <v>82913.969999999958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76.41</v>
      </c>
      <c r="E47" s="106">
        <f t="shared" ref="E47:E50" si="4">+C47+D47</f>
        <v>178911.41</v>
      </c>
      <c r="F47" s="106">
        <v>127294.3</v>
      </c>
      <c r="G47" s="106">
        <v>2966.88</v>
      </c>
      <c r="H47" s="113">
        <f t="shared" si="0"/>
        <v>48650.23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14652.19</v>
      </c>
      <c r="G48" s="106">
        <v>6808.16</v>
      </c>
      <c r="H48" s="107">
        <f t="shared" si="0"/>
        <v>14996.239999999994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116036.1</v>
      </c>
      <c r="G49" s="106">
        <v>6698.15</v>
      </c>
      <c r="H49" s="111">
        <f t="shared" si="0"/>
        <v>25626.35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258045.9</v>
      </c>
      <c r="G51" s="30">
        <f>SUM(G47:G50)</f>
        <v>16473.190000000002</v>
      </c>
      <c r="H51" s="33">
        <f t="shared" si="0"/>
        <v>89522.819999999978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16150.76</v>
      </c>
      <c r="G52" s="106">
        <v>520.36</v>
      </c>
      <c r="H52" s="114">
        <f t="shared" si="0"/>
        <v>1975.9399999999973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45967.03</v>
      </c>
      <c r="G53" s="106">
        <v>1412.2</v>
      </c>
      <c r="H53" s="107">
        <f t="shared" si="0"/>
        <v>14506.84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5097.8</v>
      </c>
      <c r="E63" s="106">
        <f t="shared" si="5"/>
        <v>52177.8</v>
      </c>
      <c r="F63" s="106">
        <v>48296.160000000003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-46025.609999999993</v>
      </c>
      <c r="E64" s="30">
        <f>SUM(E52:E63)</f>
        <v>853094.39</v>
      </c>
      <c r="F64" s="30">
        <f>SUM(F52:F63)</f>
        <v>765712.21000000008</v>
      </c>
      <c r="G64" s="30">
        <f>SUM(G52:G63)</f>
        <v>5884.07</v>
      </c>
      <c r="H64" s="33">
        <f t="shared" si="0"/>
        <v>81498.109999999928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5590</v>
      </c>
      <c r="G66" s="106">
        <v>2381</v>
      </c>
      <c r="H66" s="114">
        <f t="shared" si="0"/>
        <v>4176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26155</v>
      </c>
      <c r="G67" s="106">
        <v>200</v>
      </c>
      <c r="H67" s="114">
        <f t="shared" si="0"/>
        <v>5000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50420.35</v>
      </c>
      <c r="G68" s="30">
        <f>SUM(G65:G67)</f>
        <v>2581</v>
      </c>
      <c r="H68" s="33">
        <f t="shared" si="0"/>
        <v>11176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-27974.799999999999</v>
      </c>
      <c r="E70" s="106">
        <f t="shared" si="7"/>
        <v>8025.2000000000007</v>
      </c>
      <c r="F70" s="106">
        <v>0</v>
      </c>
      <c r="G70" s="106">
        <v>395.5</v>
      </c>
      <c r="H70" s="114">
        <f t="shared" si="0"/>
        <v>7629.7000000000007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-25425.329999999998</v>
      </c>
      <c r="E71" s="30">
        <f>SUM(E69:E70)</f>
        <v>12574.67</v>
      </c>
      <c r="F71" s="30">
        <f>SUM(F69:F70)</f>
        <v>4549.47</v>
      </c>
      <c r="G71" s="30">
        <f>SUM(G69:G70)</f>
        <v>395.5</v>
      </c>
      <c r="H71" s="114">
        <f t="shared" si="0"/>
        <v>7629.7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1744877.91</v>
      </c>
      <c r="G72" s="90">
        <f>+G71+G68+G64+G51+G43</f>
        <v>33635.490000000005</v>
      </c>
      <c r="H72" s="97">
        <f t="shared" si="0"/>
        <v>272740.60000000009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7133856.5600000005</v>
      </c>
      <c r="G101" s="88">
        <f>+G24+G72+G81+G100+G87</f>
        <v>237913.99</v>
      </c>
      <c r="H101" s="100">
        <f>+E101-F101-G101</f>
        <v>2815633.4500000011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61" workbookViewId="0">
      <selection activeCell="G82" sqref="G8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86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86"/>
      <c r="H3" s="17"/>
      <c r="I3" s="16"/>
    </row>
    <row r="4" spans="1:9" ht="14.25" x14ac:dyDescent="0.2">
      <c r="A4" s="17"/>
      <c r="B4" s="186"/>
      <c r="C4" s="186"/>
      <c r="D4" s="186"/>
      <c r="E4" s="186"/>
      <c r="F4" s="186"/>
      <c r="G4" s="186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85"/>
      <c r="B6" s="193" t="s">
        <v>91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3955826.77</v>
      </c>
      <c r="G9" s="106">
        <f>120197.8-23048.03</f>
        <v>97149.77</v>
      </c>
      <c r="H9" s="107">
        <f t="shared" ref="H9:H72" si="0">+E9-F9-G9</f>
        <v>813100.62000000011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921174.78</v>
      </c>
      <c r="G12" s="106">
        <f>50326.85-8931.95</f>
        <v>41394.899999999994</v>
      </c>
      <c r="H12" s="107">
        <f t="shared" si="0"/>
        <v>195933.7399999999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237421.06</v>
      </c>
      <c r="G15" s="106">
        <f>32335.82-4432.94</f>
        <v>27902.880000000001</v>
      </c>
      <c r="H15" s="107">
        <f t="shared" si="0"/>
        <v>53826.94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51292.5</v>
      </c>
      <c r="G16" s="106">
        <f>3335.41-449.18</f>
        <v>2886.23</v>
      </c>
      <c r="H16" s="107">
        <f t="shared" si="0"/>
        <v>11078.98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264423.53000000003</v>
      </c>
      <c r="G17" s="106">
        <f>39482.32-4281.23</f>
        <v>35201.089999999997</v>
      </c>
      <c r="H17" s="107">
        <f t="shared" si="0"/>
        <v>60627.299999999959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67836.100000000006</v>
      </c>
      <c r="G18" s="106">
        <f>7705.58-793.84</f>
        <v>6911.74</v>
      </c>
      <c r="H18" s="107">
        <f t="shared" si="0"/>
        <v>15079.289999999999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36889.839999999997</v>
      </c>
      <c r="G19" s="106">
        <v>1967.76</v>
      </c>
      <c r="H19" s="107">
        <f t="shared" si="0"/>
        <v>7767.4000000000033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53018.65</v>
      </c>
      <c r="G22" s="106">
        <v>6581.35</v>
      </c>
      <c r="H22" s="107">
        <f t="shared" si="0"/>
        <v>11849.999999999998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5762943.2999999998</v>
      </c>
      <c r="G24" s="92">
        <f t="shared" si="2"/>
        <v>226000.65</v>
      </c>
      <c r="H24" s="95">
        <f t="shared" si="2"/>
        <v>1862977.17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13742.84</v>
      </c>
      <c r="E25" s="106">
        <f t="shared" ref="E25:E42" si="3">+C25+D25</f>
        <v>81772.84</v>
      </c>
      <c r="F25" s="106">
        <v>68796.83</v>
      </c>
      <c r="G25" s="106">
        <v>2332.5</v>
      </c>
      <c r="H25" s="107">
        <f t="shared" si="0"/>
        <v>10643.509999999995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5427.22</v>
      </c>
      <c r="E28" s="106">
        <f t="shared" si="3"/>
        <v>29102.22</v>
      </c>
      <c r="F28" s="106">
        <v>24985.72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567.15</v>
      </c>
      <c r="E35" s="106">
        <f t="shared" si="3"/>
        <v>1967.15</v>
      </c>
      <c r="F35" s="106">
        <v>1394.56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874.7</v>
      </c>
      <c r="E37" s="106">
        <f t="shared" si="3"/>
        <v>6454.7</v>
      </c>
      <c r="F37" s="106">
        <v>6454.69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750.45</v>
      </c>
      <c r="E38" s="106">
        <f t="shared" si="3"/>
        <v>12950.45</v>
      </c>
      <c r="F38" s="106">
        <v>12554.65</v>
      </c>
      <c r="G38" s="106">
        <v>45.8</v>
      </c>
      <c r="H38" s="107">
        <f t="shared" si="0"/>
        <v>350.00000000000108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753.34</v>
      </c>
      <c r="E40" s="106">
        <f t="shared" si="3"/>
        <v>2353.34</v>
      </c>
      <c r="F40" s="106">
        <v>2071.54</v>
      </c>
      <c r="G40" s="106">
        <v>31.8</v>
      </c>
      <c r="H40" s="107">
        <f t="shared" si="0"/>
        <v>250.00000000000017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27865.86</v>
      </c>
      <c r="E42" s="106">
        <f t="shared" si="3"/>
        <v>485684.86</v>
      </c>
      <c r="F42" s="106">
        <v>463952.77</v>
      </c>
      <c r="G42" s="106">
        <v>4874.2299999999996</v>
      </c>
      <c r="H42" s="111">
        <f t="shared" si="0"/>
        <v>16857.859999999968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55521.680000000008</v>
      </c>
      <c r="E43" s="46">
        <f>SUM(E25:E42)</f>
        <v>759070.67999999993</v>
      </c>
      <c r="F43" s="46">
        <f>SUM(F25:F42)</f>
        <v>668833.41</v>
      </c>
      <c r="G43" s="46">
        <f>SUM(G25:G42)</f>
        <v>8301.73</v>
      </c>
      <c r="H43" s="47">
        <f t="shared" si="0"/>
        <v>81935.539999999906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688.37</v>
      </c>
      <c r="E47" s="106">
        <f t="shared" ref="E47:E50" si="4">+C47+D47</f>
        <v>179523.37</v>
      </c>
      <c r="F47" s="106">
        <v>144989.12</v>
      </c>
      <c r="G47" s="106">
        <v>2966.88</v>
      </c>
      <c r="H47" s="113">
        <f t="shared" si="0"/>
        <v>31567.37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-6755.37</v>
      </c>
      <c r="E48" s="106">
        <f t="shared" si="4"/>
        <v>35844.629999999997</v>
      </c>
      <c r="F48" s="106">
        <v>16428.849999999999</v>
      </c>
      <c r="G48" s="106">
        <v>6808.16</v>
      </c>
      <c r="H48" s="107">
        <f t="shared" si="0"/>
        <v>12607.619999999999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121009.94</v>
      </c>
      <c r="G49" s="106">
        <v>6698.16</v>
      </c>
      <c r="H49" s="111">
        <f t="shared" si="0"/>
        <v>20652.500000000004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282491.22000000003</v>
      </c>
      <c r="G51" s="30">
        <f>SUM(G47:G50)</f>
        <v>16473.2</v>
      </c>
      <c r="H51" s="33">
        <f t="shared" si="0"/>
        <v>65077.489999999947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16024.31</v>
      </c>
      <c r="G52" s="106">
        <v>646.80999999999995</v>
      </c>
      <c r="H52" s="114">
        <f t="shared" si="0"/>
        <v>1975.9399999999982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50426.76</v>
      </c>
      <c r="G53" s="106">
        <v>1412.2</v>
      </c>
      <c r="H53" s="107">
        <f t="shared" si="0"/>
        <v>10047.109999999997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5162.8</v>
      </c>
      <c r="E63" s="106">
        <f t="shared" si="5"/>
        <v>52242.8</v>
      </c>
      <c r="F63" s="106">
        <v>48361.16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-45960.609999999993</v>
      </c>
      <c r="E64" s="30">
        <f>SUM(E52:E63)</f>
        <v>853159.39</v>
      </c>
      <c r="F64" s="30">
        <f>SUM(F52:F63)</f>
        <v>770110.49000000011</v>
      </c>
      <c r="G64" s="30">
        <f>SUM(G52:G63)</f>
        <v>6010.52</v>
      </c>
      <c r="H64" s="33">
        <f t="shared" si="0"/>
        <v>77038.379999999903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6672</v>
      </c>
      <c r="G66" s="106">
        <v>2381</v>
      </c>
      <c r="H66" s="114">
        <f t="shared" si="0"/>
        <v>3094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25360</v>
      </c>
      <c r="G67" s="106">
        <v>200</v>
      </c>
      <c r="H67" s="114">
        <f t="shared" si="0"/>
        <v>5795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50707.35</v>
      </c>
      <c r="G68" s="30">
        <f>SUM(G65:G67)</f>
        <v>2581</v>
      </c>
      <c r="H68" s="33">
        <f t="shared" si="0"/>
        <v>10889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-29744.799999999999</v>
      </c>
      <c r="E70" s="106">
        <f t="shared" si="7"/>
        <v>6255.2000000000007</v>
      </c>
      <c r="F70" s="106">
        <v>0</v>
      </c>
      <c r="G70" s="106">
        <v>395.5</v>
      </c>
      <c r="H70" s="114">
        <f t="shared" si="0"/>
        <v>5859.7000000000007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-27195.329999999998</v>
      </c>
      <c r="E71" s="30">
        <f>SUM(E69:E70)</f>
        <v>10804.67</v>
      </c>
      <c r="F71" s="30">
        <f>SUM(F69:F70)</f>
        <v>4549.47</v>
      </c>
      <c r="G71" s="30">
        <f>SUM(G69:G70)</f>
        <v>395.5</v>
      </c>
      <c r="H71" s="114">
        <f t="shared" si="0"/>
        <v>5859.7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1776691.94</v>
      </c>
      <c r="G72" s="90">
        <f>+G71+G68+G64+G51+G43</f>
        <v>33761.949999999997</v>
      </c>
      <c r="H72" s="97">
        <f t="shared" si="0"/>
        <v>240800.11000000004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7717240.0999999996</v>
      </c>
      <c r="G101" s="88">
        <f>+G24+G72+G81+G100+G87</f>
        <v>266886.61</v>
      </c>
      <c r="H101" s="100">
        <f>+E101-F101-G101</f>
        <v>2203277.2900000024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workbookViewId="0">
      <selection activeCell="C76" sqref="C7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89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89"/>
      <c r="H3" s="17"/>
      <c r="I3" s="16"/>
    </row>
    <row r="4" spans="1:9" ht="14.25" x14ac:dyDescent="0.2">
      <c r="A4" s="17"/>
      <c r="B4" s="189"/>
      <c r="C4" s="189"/>
      <c r="D4" s="189"/>
      <c r="E4" s="189"/>
      <c r="F4" s="189"/>
      <c r="G4" s="189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88"/>
      <c r="B6" s="193" t="s">
        <v>92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-115526.96</v>
      </c>
      <c r="E9" s="106">
        <f>+C9+D9</f>
        <v>4866073.04</v>
      </c>
      <c r="F9" s="106">
        <v>4347066.5999999996</v>
      </c>
      <c r="G9" s="106">
        <f>135501.65-23048.03</f>
        <v>112453.62</v>
      </c>
      <c r="H9" s="107">
        <f t="shared" ref="H9:H72" si="0">+E9-F9-G9</f>
        <v>406552.82000000041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1015597.61</v>
      </c>
      <c r="G12" s="106">
        <f>53800.07-8931.95</f>
        <v>44868.119999999995</v>
      </c>
      <c r="H12" s="107">
        <f t="shared" si="0"/>
        <v>98037.689999999944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260773.06</v>
      </c>
      <c r="G15" s="106">
        <f>35895.28-4432.94</f>
        <v>31462.34</v>
      </c>
      <c r="H15" s="107">
        <f t="shared" si="0"/>
        <v>26915.480000000007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56571.6</v>
      </c>
      <c r="G16" s="106">
        <f>3589.3-449.18</f>
        <v>3140.1200000000003</v>
      </c>
      <c r="H16" s="107">
        <f t="shared" si="0"/>
        <v>5545.99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290496.46999999997</v>
      </c>
      <c r="G17" s="106">
        <f>43718.03-4281.23</f>
        <v>39436.800000000003</v>
      </c>
      <c r="H17" s="107">
        <f t="shared" si="0"/>
        <v>30318.650000000009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74569.58</v>
      </c>
      <c r="G18" s="106">
        <f>8435.12-793.84</f>
        <v>7641.2800000000007</v>
      </c>
      <c r="H18" s="107">
        <f t="shared" si="0"/>
        <v>7616.2700000000023</v>
      </c>
    </row>
    <row r="19" spans="1:11" x14ac:dyDescent="0.2">
      <c r="A19" s="7">
        <v>51601</v>
      </c>
      <c r="B19" s="4" t="s">
        <v>10</v>
      </c>
      <c r="C19" s="101">
        <v>46625</v>
      </c>
      <c r="D19" s="101">
        <v>4.12</v>
      </c>
      <c r="E19" s="106">
        <f t="shared" si="1"/>
        <v>46629.120000000003</v>
      </c>
      <c r="F19" s="106">
        <v>40775.599999999999</v>
      </c>
      <c r="G19" s="106">
        <v>1967.76</v>
      </c>
      <c r="H19" s="107">
        <f t="shared" si="0"/>
        <v>3885.7600000000039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53902.65</v>
      </c>
      <c r="G22" s="106">
        <v>6997.35</v>
      </c>
      <c r="H22" s="107">
        <f t="shared" si="0"/>
        <v>10549.999999999998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6314813.2399999993</v>
      </c>
      <c r="G24" s="92">
        <f t="shared" si="2"/>
        <v>253972.32</v>
      </c>
      <c r="H24" s="95">
        <f t="shared" si="2"/>
        <v>1283135.5600000003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14409.84</v>
      </c>
      <c r="E25" s="106">
        <f t="shared" ref="E25:E42" si="3">+C25+D25</f>
        <v>82439.839999999997</v>
      </c>
      <c r="F25" s="106">
        <v>69046.83</v>
      </c>
      <c r="G25" s="106">
        <v>2332.5</v>
      </c>
      <c r="H25" s="107">
        <f t="shared" si="0"/>
        <v>11060.509999999995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6652.13</v>
      </c>
      <c r="E27" s="106">
        <f t="shared" si="3"/>
        <v>56497.13</v>
      </c>
      <c r="F27" s="106">
        <v>19648.09</v>
      </c>
      <c r="G27" s="106">
        <v>204.04</v>
      </c>
      <c r="H27" s="107">
        <f t="shared" si="0"/>
        <v>36644.999999999993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5427.22</v>
      </c>
      <c r="E28" s="106">
        <f t="shared" si="3"/>
        <v>29102.22</v>
      </c>
      <c r="F28" s="106">
        <v>24985.72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263.19</v>
      </c>
      <c r="E29" s="106">
        <f t="shared" si="3"/>
        <v>663.19</v>
      </c>
      <c r="F29" s="106">
        <v>564.49</v>
      </c>
      <c r="G29" s="106">
        <v>0</v>
      </c>
      <c r="H29" s="107">
        <f t="shared" si="0"/>
        <v>98.700000000000045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582.45000000000005</v>
      </c>
      <c r="E35" s="106">
        <f t="shared" si="3"/>
        <v>1982.45</v>
      </c>
      <c r="F35" s="106">
        <v>1394.56</v>
      </c>
      <c r="G35" s="106">
        <v>128.41999999999999</v>
      </c>
      <c r="H35" s="107">
        <f t="shared" si="0"/>
        <v>459.47000000000014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897.1</v>
      </c>
      <c r="E37" s="106">
        <f t="shared" si="3"/>
        <v>6477.1</v>
      </c>
      <c r="F37" s="106">
        <v>6477.09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750.45</v>
      </c>
      <c r="E38" s="106">
        <f t="shared" si="3"/>
        <v>12950.45</v>
      </c>
      <c r="F38" s="106">
        <v>12554.65</v>
      </c>
      <c r="G38" s="106">
        <v>395.8</v>
      </c>
      <c r="H38" s="107">
        <f t="shared" si="0"/>
        <v>1.0800249583553523E-12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1108.02</v>
      </c>
      <c r="E40" s="106">
        <f t="shared" si="3"/>
        <v>2708.02</v>
      </c>
      <c r="F40" s="106">
        <v>2071.54</v>
      </c>
      <c r="G40" s="106">
        <v>31.8</v>
      </c>
      <c r="H40" s="107">
        <f t="shared" si="0"/>
        <v>604.68000000000006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26918.46</v>
      </c>
      <c r="E42" s="106">
        <f t="shared" si="3"/>
        <v>484737.46</v>
      </c>
      <c r="F42" s="106">
        <v>463952.77</v>
      </c>
      <c r="G42" s="106">
        <v>4874.2299999999996</v>
      </c>
      <c r="H42" s="111">
        <f t="shared" si="0"/>
        <v>15910.460000000003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57184.36</v>
      </c>
      <c r="E43" s="46">
        <f>SUM(E25:E42)</f>
        <v>760733.36</v>
      </c>
      <c r="F43" s="46">
        <f>SUM(F25:F42)</f>
        <v>671277.81</v>
      </c>
      <c r="G43" s="46">
        <f>SUM(G25:G42)</f>
        <v>8651.73</v>
      </c>
      <c r="H43" s="47">
        <f t="shared" si="0"/>
        <v>80803.819999999934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-691.63</v>
      </c>
      <c r="E47" s="106">
        <f t="shared" ref="E47:E50" si="4">+C47+D47</f>
        <v>178143.37</v>
      </c>
      <c r="F47" s="106">
        <v>158451.75</v>
      </c>
      <c r="G47" s="106">
        <v>2966.88</v>
      </c>
      <c r="H47" s="113">
        <f t="shared" si="0"/>
        <v>16724.739999999994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-6755.37</v>
      </c>
      <c r="E48" s="106">
        <f t="shared" si="4"/>
        <v>35844.629999999997</v>
      </c>
      <c r="F48" s="106">
        <v>17773.03</v>
      </c>
      <c r="G48" s="106">
        <v>6808.16</v>
      </c>
      <c r="H48" s="107">
        <f t="shared" si="0"/>
        <v>11263.439999999999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-161.4</v>
      </c>
      <c r="E49" s="106">
        <f t="shared" si="4"/>
        <v>148328.6</v>
      </c>
      <c r="F49" s="106">
        <v>126046.39</v>
      </c>
      <c r="G49" s="106">
        <v>6698.16</v>
      </c>
      <c r="H49" s="111">
        <f t="shared" si="0"/>
        <v>15584.050000000007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-8495.09</v>
      </c>
      <c r="E51" s="30">
        <f>SUM(E47:E50)</f>
        <v>362629.91</v>
      </c>
      <c r="F51" s="30">
        <f>SUM(F47:F50)</f>
        <v>302334.48</v>
      </c>
      <c r="G51" s="30">
        <f>SUM(G47:G50)</f>
        <v>16473.2</v>
      </c>
      <c r="H51" s="33">
        <f t="shared" si="0"/>
        <v>43822.229999999996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16024.31</v>
      </c>
      <c r="G52" s="106">
        <v>646.80999999999995</v>
      </c>
      <c r="H52" s="114">
        <f t="shared" si="0"/>
        <v>1975.9399999999982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53790.59</v>
      </c>
      <c r="G53" s="106">
        <v>1412.2</v>
      </c>
      <c r="H53" s="107">
        <f t="shared" si="0"/>
        <v>6683.2800000000034</v>
      </c>
    </row>
    <row r="54" spans="1:8" x14ac:dyDescent="0.2">
      <c r="A54" s="7">
        <v>54304</v>
      </c>
      <c r="B54" s="4" t="s">
        <v>36</v>
      </c>
      <c r="C54" s="101">
        <v>4000</v>
      </c>
      <c r="D54" s="101">
        <v>-3981.6</v>
      </c>
      <c r="E54" s="106">
        <f t="shared" si="5"/>
        <v>18.400000000000091</v>
      </c>
      <c r="F54" s="106"/>
      <c r="G54" s="106">
        <v>0</v>
      </c>
      <c r="H54" s="114">
        <f t="shared" si="0"/>
        <v>18.400000000000091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-58924.49</v>
      </c>
      <c r="E55" s="106">
        <f t="shared" si="5"/>
        <v>25275.510000000002</v>
      </c>
      <c r="F55" s="106">
        <v>3221.08</v>
      </c>
      <c r="G55" s="106">
        <v>0</v>
      </c>
      <c r="H55" s="114">
        <f t="shared" si="0"/>
        <v>22054.43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-7314.2</v>
      </c>
      <c r="E59" s="106">
        <f t="shared" si="5"/>
        <v>17085.8</v>
      </c>
      <c r="F59" s="106">
        <v>12894.3</v>
      </c>
      <c r="G59" s="106">
        <v>128.5</v>
      </c>
      <c r="H59" s="114">
        <f t="shared" si="0"/>
        <v>4063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14875.91</v>
      </c>
      <c r="E60" s="106">
        <f t="shared" si="5"/>
        <v>42975.91</v>
      </c>
      <c r="F60" s="106">
        <v>36389.01</v>
      </c>
      <c r="G60" s="106">
        <v>2321.9</v>
      </c>
      <c r="H60" s="114">
        <f t="shared" si="0"/>
        <v>4265.0000000000018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11687.8</v>
      </c>
      <c r="E63" s="106">
        <f t="shared" si="5"/>
        <v>58767.8</v>
      </c>
      <c r="F63" s="106">
        <v>56464.7</v>
      </c>
      <c r="G63" s="106">
        <v>955.34</v>
      </c>
      <c r="H63" s="114">
        <f t="shared" si="0"/>
        <v>1347.7600000000057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-51023.609999999986</v>
      </c>
      <c r="E64" s="30">
        <f>SUM(E52:E63)</f>
        <v>848096.39</v>
      </c>
      <c r="F64" s="30">
        <f>SUM(F52:F63)</f>
        <v>801480.46</v>
      </c>
      <c r="G64" s="30">
        <f>SUM(G52:G63)</f>
        <v>6010.52</v>
      </c>
      <c r="H64" s="33">
        <f t="shared" si="0"/>
        <v>40605.410000000047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17389.009999999998</v>
      </c>
      <c r="E65" s="106">
        <f t="shared" ref="E65:E67" si="6">+C65+D65</f>
        <v>25389.01</v>
      </c>
      <c r="F65" s="106">
        <v>25100.84</v>
      </c>
      <c r="G65" s="101">
        <v>0</v>
      </c>
      <c r="H65" s="114">
        <f t="shared" si="0"/>
        <v>288.16999999999825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7130</v>
      </c>
      <c r="G66" s="106">
        <v>2381</v>
      </c>
      <c r="H66" s="114">
        <f t="shared" si="0"/>
        <v>2636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12735</v>
      </c>
      <c r="E67" s="106">
        <f t="shared" si="6"/>
        <v>32735</v>
      </c>
      <c r="F67" s="106">
        <v>32535</v>
      </c>
      <c r="G67" s="106">
        <v>200</v>
      </c>
      <c r="H67" s="114">
        <f t="shared" si="0"/>
        <v>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30811.01</v>
      </c>
      <c r="E68" s="30">
        <f>SUM(E65:E67)</f>
        <v>70271.009999999995</v>
      </c>
      <c r="F68" s="30">
        <f>SUM(F65:F67)</f>
        <v>64765.84</v>
      </c>
      <c r="G68" s="30">
        <f>SUM(G65:G67)</f>
        <v>2581</v>
      </c>
      <c r="H68" s="33">
        <f t="shared" si="0"/>
        <v>2924.1699999999983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-28378.46</v>
      </c>
      <c r="E70" s="106">
        <f t="shared" si="7"/>
        <v>7621.5400000000009</v>
      </c>
      <c r="F70" s="106">
        <v>6080</v>
      </c>
      <c r="G70" s="106">
        <v>395.5</v>
      </c>
      <c r="H70" s="114">
        <f t="shared" si="0"/>
        <v>1146.0400000000009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-25828.989999999998</v>
      </c>
      <c r="E71" s="30">
        <f>SUM(E69:E70)</f>
        <v>12171.01</v>
      </c>
      <c r="F71" s="30">
        <f>SUM(F69:F70)</f>
        <v>10629.470000000001</v>
      </c>
      <c r="G71" s="30">
        <f>SUM(G69:G70)</f>
        <v>395.5</v>
      </c>
      <c r="H71" s="114">
        <f t="shared" si="0"/>
        <v>1146.0399999999991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2647.6800000000221</v>
      </c>
      <c r="E72" s="76">
        <f>+E71+E68+E64+E51+E43</f>
        <v>2053901.6800000002</v>
      </c>
      <c r="F72" s="83">
        <f>+F71+F68+F64+F51+F43</f>
        <v>1850488.06</v>
      </c>
      <c r="G72" s="90">
        <f>+G71+G68+G64+G51+G43</f>
        <v>34111.949999999997</v>
      </c>
      <c r="H72" s="97">
        <f t="shared" si="0"/>
        <v>169301.6700000001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100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-109582.11</v>
      </c>
      <c r="E75" s="106">
        <f t="shared" ref="E75:E77" si="9">+C75+D75</f>
        <v>37417.89</v>
      </c>
      <c r="F75" s="106">
        <v>35284.28</v>
      </c>
      <c r="G75" s="106"/>
      <c r="H75" s="114">
        <f t="shared" si="8"/>
        <v>2133.6100000000006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-113744.97</v>
      </c>
      <c r="E78" s="30">
        <f>SUM(E75:E77)</f>
        <v>81280.03</v>
      </c>
      <c r="F78" s="30">
        <f>SUM(F75:F77)</f>
        <v>74314.26999999999</v>
      </c>
      <c r="G78" s="30">
        <f>SUM(G75:G77)</f>
        <v>4768.6899999999996</v>
      </c>
      <c r="H78" s="33">
        <f>+E78-F78-G78</f>
        <v>2197.0700000000097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-109481.61</v>
      </c>
      <c r="E81" s="76">
        <f t="shared" si="12"/>
        <v>88943.39</v>
      </c>
      <c r="F81" s="83">
        <f>+F74+F78+F80</f>
        <v>81977.62999999999</v>
      </c>
      <c r="G81" s="90">
        <f>+G74+G78</f>
        <v>4768.6899999999996</v>
      </c>
      <c r="H81" s="97">
        <f>+E81-F81-G81</f>
        <v>2197.0700000000097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>
        <v>2000</v>
      </c>
      <c r="G82" s="101">
        <v>2000</v>
      </c>
      <c r="H82" s="114">
        <f t="shared" si="8"/>
        <v>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2000</v>
      </c>
      <c r="G84" s="30">
        <f>SUM(G82)</f>
        <v>2000</v>
      </c>
      <c r="H84" s="33">
        <f t="shared" si="8"/>
        <v>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7144.68</v>
      </c>
      <c r="G87" s="89">
        <f t="shared" si="14"/>
        <v>2355.3200000000002</v>
      </c>
      <c r="H87" s="98">
        <f t="shared" si="14"/>
        <v>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12018.38</v>
      </c>
      <c r="E92" s="112">
        <f t="shared" ref="E92:E97" si="15">+C92+D92</f>
        <v>17018.379999999997</v>
      </c>
      <c r="F92" s="112">
        <v>10224.879999999999</v>
      </c>
      <c r="G92" s="117">
        <v>0</v>
      </c>
      <c r="H92" s="113">
        <f t="shared" si="8"/>
        <v>6793.4999999999982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14088.99</v>
      </c>
      <c r="E93" s="106">
        <f t="shared" si="15"/>
        <v>29088.989999999998</v>
      </c>
      <c r="F93" s="106">
        <v>7728.83</v>
      </c>
      <c r="G93" s="108">
        <v>0</v>
      </c>
      <c r="H93" s="114">
        <f t="shared" si="8"/>
        <v>21360.159999999996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54442.19</v>
      </c>
      <c r="E95" s="106">
        <f t="shared" si="15"/>
        <v>69497.19</v>
      </c>
      <c r="F95" s="106">
        <v>60634.71</v>
      </c>
      <c r="G95" s="108">
        <v>0</v>
      </c>
      <c r="H95" s="114">
        <f t="shared" si="8"/>
        <v>8862.4800000000032</v>
      </c>
      <c r="I95" s="118"/>
    </row>
    <row r="96" spans="1:9" s="119" customFormat="1" x14ac:dyDescent="0.2">
      <c r="A96" s="8">
        <v>61105</v>
      </c>
      <c r="B96" s="24" t="s">
        <v>93</v>
      </c>
      <c r="C96" s="108">
        <v>0</v>
      </c>
      <c r="D96" s="108">
        <v>55200</v>
      </c>
      <c r="E96" s="106">
        <f t="shared" si="15"/>
        <v>55200</v>
      </c>
      <c r="F96" s="106">
        <v>0</v>
      </c>
      <c r="G96" s="108"/>
      <c r="H96" s="114"/>
      <c r="I96" s="118"/>
    </row>
    <row r="97" spans="1:11" s="10" customFormat="1" x14ac:dyDescent="0.2">
      <c r="A97" s="7">
        <v>61108</v>
      </c>
      <c r="B97" s="4" t="s">
        <v>27</v>
      </c>
      <c r="C97" s="101">
        <v>1000</v>
      </c>
      <c r="D97" s="101">
        <v>3190</v>
      </c>
      <c r="E97" s="106">
        <f t="shared" si="15"/>
        <v>4190</v>
      </c>
      <c r="F97" s="106">
        <v>3750.88</v>
      </c>
      <c r="G97" s="101">
        <v>0</v>
      </c>
      <c r="H97" s="114">
        <f t="shared" si="8"/>
        <v>439.11999999999989</v>
      </c>
      <c r="I97" s="11"/>
    </row>
    <row r="98" spans="1:11" s="10" customFormat="1" x14ac:dyDescent="0.2">
      <c r="A98" s="8"/>
      <c r="B98" s="29" t="s">
        <v>56</v>
      </c>
      <c r="C98" s="30">
        <f>SUM(C92:C97)</f>
        <v>36555</v>
      </c>
      <c r="D98" s="30">
        <f>SUM(D92:D97)</f>
        <v>138494.56</v>
      </c>
      <c r="E98" s="30">
        <f>SUM(E92:E97)</f>
        <v>175049.56</v>
      </c>
      <c r="F98" s="30">
        <f>SUM(F92:F97)</f>
        <v>82394.3</v>
      </c>
      <c r="G98" s="30">
        <f>SUM(G97)</f>
        <v>0</v>
      </c>
      <c r="H98" s="33">
        <f t="shared" si="8"/>
        <v>92655.26</v>
      </c>
      <c r="I98" s="11"/>
    </row>
    <row r="99" spans="1:11" s="10" customFormat="1" x14ac:dyDescent="0.2">
      <c r="A99" s="7">
        <v>61403</v>
      </c>
      <c r="B99" s="4" t="s">
        <v>82</v>
      </c>
      <c r="C99" s="101">
        <v>0</v>
      </c>
      <c r="D99" s="101">
        <f>6896.43+1191.82</f>
        <v>8088.25</v>
      </c>
      <c r="E99" s="106">
        <f>+C99+D99</f>
        <v>8088.25</v>
      </c>
      <c r="F99" s="101">
        <v>8088.25</v>
      </c>
      <c r="G99" s="101">
        <v>0</v>
      </c>
      <c r="H99" s="114">
        <f t="shared" si="8"/>
        <v>0</v>
      </c>
      <c r="I99" s="11"/>
    </row>
    <row r="100" spans="1:11" s="10" customFormat="1" ht="13.5" thickBot="1" x14ac:dyDescent="0.25">
      <c r="A100" s="71"/>
      <c r="B100" s="72" t="s">
        <v>56</v>
      </c>
      <c r="C100" s="73">
        <f>+C99</f>
        <v>0</v>
      </c>
      <c r="D100" s="73">
        <f>+D99</f>
        <v>8088.25</v>
      </c>
      <c r="E100" s="73">
        <f>+E99</f>
        <v>8088.25</v>
      </c>
      <c r="F100" s="73">
        <f>+F99</f>
        <v>8088.25</v>
      </c>
      <c r="G100" s="73">
        <f>SUM(G99)</f>
        <v>0</v>
      </c>
      <c r="H100" s="180">
        <f t="shared" si="8"/>
        <v>0</v>
      </c>
      <c r="I100" s="11"/>
    </row>
    <row r="101" spans="1:11" s="10" customFormat="1" ht="13.5" thickBot="1" x14ac:dyDescent="0.25">
      <c r="A101" s="62"/>
      <c r="B101" s="48" t="s">
        <v>11</v>
      </c>
      <c r="C101" s="49">
        <f>+C98+C100</f>
        <v>36555</v>
      </c>
      <c r="D101" s="49">
        <f>+D100+D98</f>
        <v>146582.81</v>
      </c>
      <c r="E101" s="80">
        <f>+E100+E98</f>
        <v>183137.81</v>
      </c>
      <c r="F101" s="85">
        <f>+F100+F98</f>
        <v>90482.55</v>
      </c>
      <c r="G101" s="87">
        <v>0</v>
      </c>
      <c r="H101" s="99">
        <f>+H100+H98</f>
        <v>92655.26</v>
      </c>
      <c r="I101" s="11"/>
    </row>
    <row r="102" spans="1:11" x14ac:dyDescent="0.2">
      <c r="A102" s="67"/>
      <c r="B102" s="68" t="s">
        <v>2</v>
      </c>
      <c r="C102" s="69">
        <f>+C101+C87+C81+C72+C24</f>
        <v>10187404</v>
      </c>
      <c r="D102" s="70">
        <f>+D101+D87+D81+D72+D24</f>
        <v>0</v>
      </c>
      <c r="E102" s="81">
        <f>+E24+E72+E81+E101+E87</f>
        <v>10187404.000000002</v>
      </c>
      <c r="F102" s="86">
        <f>+F24+F72+F81+F101+F87</f>
        <v>8344906.1599999983</v>
      </c>
      <c r="G102" s="88">
        <f>+G24+G72+G81+G101+G87</f>
        <v>295208.28000000003</v>
      </c>
      <c r="H102" s="100">
        <f>+E102-F102-G102</f>
        <v>1547289.5600000035</v>
      </c>
      <c r="I102" s="2"/>
      <c r="J102" s="3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  <c r="K103" s="2"/>
    </row>
    <row r="104" spans="1:11" x14ac:dyDescent="0.2">
      <c r="C104" s="9"/>
      <c r="D104" s="9"/>
      <c r="E104" s="9"/>
      <c r="F104" s="9"/>
      <c r="G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H109" s="2"/>
      <c r="I109" s="2"/>
    </row>
    <row r="110" spans="1:11" x14ac:dyDescent="0.2">
      <c r="C110" s="9"/>
      <c r="D110" s="9"/>
      <c r="E110" s="9"/>
      <c r="F110" s="9"/>
      <c r="G110" s="9"/>
      <c r="J110" s="2"/>
    </row>
    <row r="111" spans="1:11" x14ac:dyDescent="0.2">
      <c r="C111" s="9"/>
      <c r="D111" s="9"/>
      <c r="E111" s="9"/>
      <c r="F111" s="9"/>
      <c r="G111" s="9"/>
    </row>
    <row r="112" spans="1:11" x14ac:dyDescent="0.2">
      <c r="C112" s="13"/>
      <c r="D112" s="13"/>
      <c r="E112" s="13"/>
      <c r="F112" s="13"/>
      <c r="G112" s="13"/>
      <c r="H112" s="13"/>
    </row>
    <row r="113" spans="3:8" x14ac:dyDescent="0.2">
      <c r="C113" s="15"/>
      <c r="D113" s="15"/>
      <c r="E113" s="15"/>
      <c r="F113" s="15"/>
      <c r="G113" s="15"/>
      <c r="H113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abSelected="1" workbookViewId="0">
      <selection activeCell="B13" sqref="B13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6"/>
      <c r="B2" s="195" t="s">
        <v>51</v>
      </c>
      <c r="C2" s="195"/>
      <c r="D2" s="195"/>
      <c r="E2" s="195"/>
      <c r="F2" s="195"/>
      <c r="G2" s="191"/>
      <c r="H2" s="16"/>
      <c r="I2" s="16"/>
    </row>
    <row r="3" spans="1:9" ht="14.25" x14ac:dyDescent="0.2">
      <c r="A3" s="17"/>
      <c r="B3" s="195" t="s">
        <v>62</v>
      </c>
      <c r="C3" s="195"/>
      <c r="D3" s="195"/>
      <c r="E3" s="195"/>
      <c r="F3" s="195"/>
      <c r="G3" s="191"/>
      <c r="H3" s="17"/>
      <c r="I3" s="16"/>
    </row>
    <row r="4" spans="1:9" ht="14.25" x14ac:dyDescent="0.2">
      <c r="A4" s="17"/>
      <c r="B4" s="191"/>
      <c r="C4" s="191"/>
      <c r="D4" s="191"/>
      <c r="E4" s="191"/>
      <c r="F4" s="191"/>
      <c r="G4" s="191"/>
      <c r="H4" s="17"/>
      <c r="I4" s="1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6"/>
    </row>
    <row r="6" spans="1:9" ht="14.25" x14ac:dyDescent="0.2">
      <c r="A6" s="190"/>
      <c r="B6" s="193" t="s">
        <v>94</v>
      </c>
      <c r="C6" s="193"/>
      <c r="D6" s="193"/>
      <c r="E6" s="193"/>
      <c r="F6" s="193"/>
      <c r="G6" s="193"/>
      <c r="H6" s="193"/>
      <c r="I6" s="1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-115526.96</v>
      </c>
      <c r="E9" s="106">
        <f>+C9+D9</f>
        <v>4866073.04</v>
      </c>
      <c r="F9" s="106">
        <v>4737940.08</v>
      </c>
      <c r="G9" s="106">
        <f>135501.65-23048.03+15679.34</f>
        <v>128132.95999999999</v>
      </c>
      <c r="H9" s="114">
        <f t="shared" ref="H9:H72" si="0">+E9-F9-G9</f>
        <v>0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>
        <v>173111.02</v>
      </c>
      <c r="G10" s="106">
        <v>6661.38</v>
      </c>
      <c r="H10" s="114">
        <f t="shared" si="0"/>
        <v>0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487896.06</v>
      </c>
      <c r="G11" s="106">
        <f>4400+16653.94</f>
        <v>21053.94</v>
      </c>
      <c r="H11" s="114">
        <f t="shared" si="0"/>
        <v>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89438.5</v>
      </c>
      <c r="E12" s="106">
        <f t="shared" si="1"/>
        <v>1158138.5</v>
      </c>
      <c r="F12" s="106">
        <v>1109067.78</v>
      </c>
      <c r="G12" s="106">
        <f>53800.07-8931.95+4202.6</f>
        <v>49070.719999999994</v>
      </c>
      <c r="H12" s="114">
        <f t="shared" si="0"/>
        <v>0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5840.04</v>
      </c>
      <c r="E13" s="106">
        <f t="shared" si="1"/>
        <v>36870.04</v>
      </c>
      <c r="F13" s="106">
        <v>35935.449999999997</v>
      </c>
      <c r="G13" s="106">
        <v>934.59</v>
      </c>
      <c r="H13" s="114">
        <v>0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98650.03</v>
      </c>
      <c r="G14" s="106">
        <f>1600+3749.97</f>
        <v>5349.9699999999993</v>
      </c>
      <c r="H14" s="114">
        <f t="shared" si="0"/>
        <v>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284135.34999999998</v>
      </c>
      <c r="G15" s="106">
        <f>35895.28-4432.94+3553.19</f>
        <v>35015.53</v>
      </c>
      <c r="H15" s="114">
        <f t="shared" si="0"/>
        <v>0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61808.5</v>
      </c>
      <c r="G16" s="106">
        <f>3589.3-449.18+309.09</f>
        <v>3449.2100000000005</v>
      </c>
      <c r="H16" s="114">
        <f t="shared" si="0"/>
        <v>0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316527.82</v>
      </c>
      <c r="G17" s="106">
        <f>43718.03-4281.23+4287.3</f>
        <v>43724.100000000006</v>
      </c>
      <c r="H17" s="114">
        <f t="shared" si="0"/>
        <v>0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81509.41</v>
      </c>
      <c r="G18" s="106">
        <f>8435.12-793.84+676.44</f>
        <v>8317.7200000000012</v>
      </c>
      <c r="H18" s="114">
        <f t="shared" si="0"/>
        <v>0</v>
      </c>
    </row>
    <row r="19" spans="1:11" x14ac:dyDescent="0.2">
      <c r="A19" s="7">
        <v>51601</v>
      </c>
      <c r="B19" s="4" t="s">
        <v>10</v>
      </c>
      <c r="C19" s="101">
        <v>46625</v>
      </c>
      <c r="D19" s="101">
        <v>4.12</v>
      </c>
      <c r="E19" s="106">
        <f t="shared" si="1"/>
        <v>46629.120000000003</v>
      </c>
      <c r="F19" s="106">
        <v>44661.36</v>
      </c>
      <c r="G19" s="106">
        <v>1967.76</v>
      </c>
      <c r="H19" s="114">
        <v>0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14">
        <v>0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14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64278.5</v>
      </c>
      <c r="G22" s="106">
        <f>6997.35+174.15</f>
        <v>7171.5</v>
      </c>
      <c r="H22" s="114">
        <f t="shared" si="0"/>
        <v>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5935.38</v>
      </c>
      <c r="H23" s="114">
        <f t="shared" si="0"/>
        <v>0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7535131.4300000006</v>
      </c>
      <c r="G24" s="92">
        <f t="shared" si="2"/>
        <v>316789.69</v>
      </c>
      <c r="H24" s="95">
        <f t="shared" si="2"/>
        <v>0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17079.98</v>
      </c>
      <c r="E25" s="106">
        <f t="shared" ref="E25:E42" si="3">+C25+D25</f>
        <v>85109.98</v>
      </c>
      <c r="F25" s="106">
        <v>76507.44</v>
      </c>
      <c r="G25" s="106">
        <f>2332.5+6270.04</f>
        <v>8602.5400000000009</v>
      </c>
      <c r="H25" s="114">
        <f t="shared" si="0"/>
        <v>0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250</v>
      </c>
      <c r="H26" s="114">
        <f t="shared" si="0"/>
        <v>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20035.13</v>
      </c>
      <c r="E27" s="106">
        <f t="shared" si="3"/>
        <v>69880.13</v>
      </c>
      <c r="F27" s="106">
        <v>62255.34</v>
      </c>
      <c r="G27" s="106">
        <f>204.04+7420.75</f>
        <v>7624.79</v>
      </c>
      <c r="H27" s="114">
        <v>0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8097.87</v>
      </c>
      <c r="E28" s="106">
        <f t="shared" si="3"/>
        <v>31772.87</v>
      </c>
      <c r="F28" s="106">
        <v>30658.87</v>
      </c>
      <c r="G28" s="106">
        <f>116.5+997.5</f>
        <v>1114</v>
      </c>
      <c r="H28" s="114">
        <f t="shared" si="0"/>
        <v>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263.19</v>
      </c>
      <c r="E29" s="106">
        <f t="shared" si="3"/>
        <v>663.19</v>
      </c>
      <c r="F29" s="106">
        <v>583.69000000000005</v>
      </c>
      <c r="G29" s="106">
        <v>79.5</v>
      </c>
      <c r="H29" s="114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1535.56</v>
      </c>
      <c r="E30" s="106">
        <f t="shared" si="3"/>
        <v>13635.56</v>
      </c>
      <c r="F30" s="106">
        <v>12935.33</v>
      </c>
      <c r="G30" s="106">
        <v>700.23</v>
      </c>
      <c r="H30" s="114">
        <f t="shared" si="0"/>
        <v>0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13367.99</v>
      </c>
      <c r="G31" s="106">
        <v>631.16</v>
      </c>
      <c r="H31" s="114">
        <f t="shared" si="0"/>
        <v>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2440</v>
      </c>
      <c r="G32" s="106">
        <v>260</v>
      </c>
      <c r="H32" s="114">
        <f t="shared" si="0"/>
        <v>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25.52</v>
      </c>
      <c r="E33" s="106">
        <f t="shared" si="3"/>
        <v>45725.52</v>
      </c>
      <c r="F33" s="106">
        <v>45705.52</v>
      </c>
      <c r="G33" s="106">
        <v>20</v>
      </c>
      <c r="H33" s="114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-570.85</v>
      </c>
      <c r="E34" s="106">
        <f t="shared" si="3"/>
        <v>829.15</v>
      </c>
      <c r="F34" s="106">
        <v>329.15</v>
      </c>
      <c r="G34" s="106">
        <v>500</v>
      </c>
      <c r="H34" s="114">
        <f t="shared" si="0"/>
        <v>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637.45000000000005</v>
      </c>
      <c r="E35" s="106">
        <f t="shared" si="3"/>
        <v>2037.45</v>
      </c>
      <c r="F35" s="106">
        <v>1449.56</v>
      </c>
      <c r="G35" s="106">
        <f>459.47+128.42</f>
        <v>587.89</v>
      </c>
      <c r="H35" s="114">
        <f t="shared" si="0"/>
        <v>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774.38</v>
      </c>
      <c r="E36" s="106">
        <f t="shared" si="3"/>
        <v>1674.38</v>
      </c>
      <c r="F36" s="106">
        <v>942.13</v>
      </c>
      <c r="G36" s="106">
        <f>631.16+101.09</f>
        <v>732.25</v>
      </c>
      <c r="H36" s="114">
        <f t="shared" si="0"/>
        <v>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1318.7</v>
      </c>
      <c r="E37" s="106">
        <f t="shared" si="3"/>
        <v>6898.7</v>
      </c>
      <c r="F37" s="106">
        <v>6865.69</v>
      </c>
      <c r="G37" s="106">
        <v>33.01</v>
      </c>
      <c r="H37" s="114">
        <v>0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1583.3</v>
      </c>
      <c r="E38" s="106">
        <f t="shared" si="3"/>
        <v>13783.3</v>
      </c>
      <c r="F38" s="106">
        <v>12554.65</v>
      </c>
      <c r="G38" s="106">
        <f>395.8+832.85</f>
        <v>1228.6500000000001</v>
      </c>
      <c r="H38" s="114">
        <f t="shared" si="0"/>
        <v>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-60.7</v>
      </c>
      <c r="E39" s="106">
        <f t="shared" si="3"/>
        <v>739.3</v>
      </c>
      <c r="F39" s="106">
        <v>594.29999999999995</v>
      </c>
      <c r="G39" s="106">
        <v>145</v>
      </c>
      <c r="H39" s="114">
        <f t="shared" si="0"/>
        <v>0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1351.73</v>
      </c>
      <c r="E40" s="106">
        <f t="shared" si="3"/>
        <v>2951.73</v>
      </c>
      <c r="F40" s="106">
        <v>2644.03</v>
      </c>
      <c r="G40" s="106">
        <f>31.8+275.9</f>
        <v>307.7</v>
      </c>
      <c r="H40" s="114">
        <f t="shared" si="0"/>
        <v>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2769.52</v>
      </c>
      <c r="E41" s="106">
        <f t="shared" si="3"/>
        <v>4869.5200000000004</v>
      </c>
      <c r="F41" s="106">
        <v>3803.32</v>
      </c>
      <c r="G41" s="106">
        <f>66.2+1000</f>
        <v>1066.2</v>
      </c>
      <c r="H41" s="114">
        <f t="shared" si="0"/>
        <v>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13510.65</v>
      </c>
      <c r="E42" s="106">
        <f t="shared" si="3"/>
        <v>471329.65</v>
      </c>
      <c r="F42" s="106">
        <v>463683.67</v>
      </c>
      <c r="G42" s="106">
        <f>4874.23+2771.75</f>
        <v>7645.98</v>
      </c>
      <c r="H42" s="114">
        <v>0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65758.81</v>
      </c>
      <c r="E43" s="46">
        <f>SUM(E25:E42)</f>
        <v>769307.81</v>
      </c>
      <c r="F43" s="46">
        <f>SUM(F25:F42)</f>
        <v>737778.90999999992</v>
      </c>
      <c r="G43" s="46">
        <f>SUM(G25:G42)</f>
        <v>31528.9</v>
      </c>
      <c r="H43" s="47">
        <v>0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-691.63</v>
      </c>
      <c r="E47" s="106">
        <f t="shared" ref="E47:E50" si="4">+C47+D47</f>
        <v>178143.37</v>
      </c>
      <c r="F47" s="106">
        <v>172558.3</v>
      </c>
      <c r="G47" s="106">
        <f>2966.88+2618.19</f>
        <v>5585.07</v>
      </c>
      <c r="H47" s="114">
        <v>0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-7845.37</v>
      </c>
      <c r="E48" s="106">
        <f t="shared" si="4"/>
        <v>34754.629999999997</v>
      </c>
      <c r="F48" s="106">
        <v>19314.88</v>
      </c>
      <c r="G48" s="106">
        <f>6808.16+8631.59</f>
        <v>15439.75</v>
      </c>
      <c r="H48" s="114">
        <f t="shared" si="0"/>
        <v>0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-3777.85</v>
      </c>
      <c r="E49" s="106">
        <f t="shared" si="4"/>
        <v>144712.15</v>
      </c>
      <c r="F49" s="106">
        <v>131230.37</v>
      </c>
      <c r="G49" s="106">
        <f>6698.16+6783.62</f>
        <v>13481.779999999999</v>
      </c>
      <c r="H49" s="114">
        <f t="shared" si="0"/>
        <v>0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250</v>
      </c>
      <c r="H50" s="114">
        <f t="shared" si="0"/>
        <v>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-13201.54</v>
      </c>
      <c r="E51" s="30">
        <f>SUM(E47:E50)</f>
        <v>357923.46</v>
      </c>
      <c r="F51" s="30">
        <f>SUM(F47:F50)</f>
        <v>323166.86</v>
      </c>
      <c r="G51" s="30">
        <f>SUM(G47:G50)</f>
        <v>34756.6</v>
      </c>
      <c r="H51" s="114">
        <f t="shared" si="0"/>
        <v>0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16996.21</v>
      </c>
      <c r="G52" s="106">
        <f>646.81+1004.04</f>
        <v>1650.85</v>
      </c>
      <c r="H52" s="114">
        <f t="shared" si="0"/>
        <v>0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54646.36</v>
      </c>
      <c r="G53" s="106">
        <f>1412.2+5827.51</f>
        <v>7239.71</v>
      </c>
      <c r="H53" s="114">
        <f t="shared" si="0"/>
        <v>0</v>
      </c>
    </row>
    <row r="54" spans="1:8" x14ac:dyDescent="0.2">
      <c r="A54" s="7">
        <v>54304</v>
      </c>
      <c r="B54" s="4" t="s">
        <v>36</v>
      </c>
      <c r="C54" s="101">
        <v>4000</v>
      </c>
      <c r="D54" s="101">
        <v>2295.5500000000002</v>
      </c>
      <c r="E54" s="106">
        <f t="shared" si="5"/>
        <v>6295.55</v>
      </c>
      <c r="F54" s="106">
        <v>5678.25</v>
      </c>
      <c r="G54" s="106">
        <v>617.29999999999995</v>
      </c>
      <c r="H54" s="114">
        <f t="shared" si="0"/>
        <v>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-72065.75</v>
      </c>
      <c r="E55" s="106">
        <f t="shared" si="5"/>
        <v>12134.25</v>
      </c>
      <c r="F55" s="106">
        <v>7954.58</v>
      </c>
      <c r="G55" s="106">
        <v>4179.67</v>
      </c>
      <c r="H55" s="114">
        <f t="shared" si="0"/>
        <v>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f>120.32+120.32</f>
        <v>240.64</v>
      </c>
      <c r="H57" s="114">
        <v>0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-7314.2</v>
      </c>
      <c r="E59" s="106">
        <f t="shared" si="5"/>
        <v>17085.8</v>
      </c>
      <c r="F59" s="106">
        <v>12894.3</v>
      </c>
      <c r="G59" s="106">
        <f>128.5+4063</f>
        <v>4191.5</v>
      </c>
      <c r="H59" s="114">
        <f t="shared" si="0"/>
        <v>0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15600.91</v>
      </c>
      <c r="E60" s="106">
        <f t="shared" si="5"/>
        <v>43700.91</v>
      </c>
      <c r="F60" s="106">
        <v>40741.5</v>
      </c>
      <c r="G60" s="106">
        <f>2321.9+637.51</f>
        <v>2959.41</v>
      </c>
      <c r="H60" s="114">
        <v>0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2045.62</v>
      </c>
      <c r="E61" s="106">
        <f t="shared" si="5"/>
        <v>26045.62</v>
      </c>
      <c r="F61" s="106">
        <v>25959.59</v>
      </c>
      <c r="G61" s="106">
        <f>12.29+73.74</f>
        <v>86.03</v>
      </c>
      <c r="H61" s="114">
        <v>0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f>3.54+3.54</f>
        <v>7.08</v>
      </c>
      <c r="H62" s="114">
        <v>0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11692.8</v>
      </c>
      <c r="E63" s="106">
        <f t="shared" si="5"/>
        <v>58772.800000000003</v>
      </c>
      <c r="F63" s="106">
        <v>57238.98</v>
      </c>
      <c r="G63" s="106">
        <f>955.34+578.48</f>
        <v>1533.8200000000002</v>
      </c>
      <c r="H63" s="114">
        <f t="shared" si="0"/>
        <v>0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-56557.72</v>
      </c>
      <c r="E64" s="30">
        <f>SUM(E52:E63)</f>
        <v>842562.28</v>
      </c>
      <c r="F64" s="30">
        <f>SUM(F52:F63)</f>
        <v>819446.65</v>
      </c>
      <c r="G64" s="30">
        <f>SUM(G52:G63)</f>
        <v>23115.63</v>
      </c>
      <c r="H64" s="114">
        <f t="shared" si="0"/>
        <v>0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17965.12</v>
      </c>
      <c r="E65" s="106">
        <f t="shared" ref="E65:E67" si="6">+C65+D65</f>
        <v>25965.119999999999</v>
      </c>
      <c r="F65" s="106">
        <v>25676.95</v>
      </c>
      <c r="G65" s="101">
        <v>288.17</v>
      </c>
      <c r="H65" s="114">
        <v>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8144</v>
      </c>
      <c r="G66" s="106">
        <f>2381+1622</f>
        <v>4003</v>
      </c>
      <c r="H66" s="114">
        <f t="shared" si="0"/>
        <v>0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13825</v>
      </c>
      <c r="E67" s="106">
        <f t="shared" si="6"/>
        <v>33825</v>
      </c>
      <c r="F67" s="106">
        <v>33625</v>
      </c>
      <c r="G67" s="106">
        <v>200</v>
      </c>
      <c r="H67" s="114">
        <f t="shared" si="0"/>
        <v>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32477.119999999999</v>
      </c>
      <c r="E68" s="30">
        <f>SUM(E65:E67)</f>
        <v>71937.119999999995</v>
      </c>
      <c r="F68" s="30">
        <f>SUM(F65:F67)</f>
        <v>67445.95</v>
      </c>
      <c r="G68" s="30">
        <f>SUM(G65:G67)</f>
        <v>4491.17</v>
      </c>
      <c r="H68" s="114">
        <f t="shared" si="0"/>
        <v>0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v>0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-28378.46</v>
      </c>
      <c r="E70" s="106">
        <f t="shared" si="7"/>
        <v>7621.5400000000009</v>
      </c>
      <c r="F70" s="106">
        <v>6080</v>
      </c>
      <c r="G70" s="106">
        <f>395.5+1146.04</f>
        <v>1541.54</v>
      </c>
      <c r="H70" s="114">
        <f t="shared" si="0"/>
        <v>0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-25828.989999999998</v>
      </c>
      <c r="E71" s="30">
        <f>SUM(E69:E70)</f>
        <v>12171.01</v>
      </c>
      <c r="F71" s="30">
        <f>SUM(F69:F70)</f>
        <v>10629.470000000001</v>
      </c>
      <c r="G71" s="30">
        <f>SUM(G69:G70)</f>
        <v>1541.54</v>
      </c>
      <c r="H71" s="114">
        <f t="shared" si="0"/>
        <v>0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2647.6800000000003</v>
      </c>
      <c r="E72" s="76">
        <f>+E71+E68+E64+E51+E43</f>
        <v>2053901.6800000002</v>
      </c>
      <c r="F72" s="83">
        <f>+F71+F68+F64+F51+F43</f>
        <v>1958467.84</v>
      </c>
      <c r="G72" s="90">
        <f>+G71+G68+G64+G51+G43</f>
        <v>95433.84</v>
      </c>
      <c r="H72" s="97">
        <f t="shared" si="0"/>
        <v>0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100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-109582.11</v>
      </c>
      <c r="E75" s="106">
        <f t="shared" ref="E75:E77" si="9">+C75+D75</f>
        <v>37417.89</v>
      </c>
      <c r="F75" s="106">
        <v>35524.410000000003</v>
      </c>
      <c r="G75" s="106">
        <v>1893.48</v>
      </c>
      <c r="H75" s="114">
        <v>0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f>4768.69+63.46</f>
        <v>4832.1499999999996</v>
      </c>
      <c r="H76" s="114">
        <f t="shared" si="8"/>
        <v>0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-113744.97</v>
      </c>
      <c r="E78" s="30">
        <f>SUM(E75:E77)</f>
        <v>81280.03</v>
      </c>
      <c r="F78" s="30">
        <f>SUM(F75:F77)</f>
        <v>74554.399999999994</v>
      </c>
      <c r="G78" s="30">
        <f>SUM(G75:G77)</f>
        <v>6725.6299999999992</v>
      </c>
      <c r="H78" s="33">
        <f>+E78-F78-G78</f>
        <v>0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-109481.61</v>
      </c>
      <c r="E81" s="76">
        <f t="shared" si="12"/>
        <v>88943.39</v>
      </c>
      <c r="F81" s="83">
        <f>+F74+F78+F80</f>
        <v>82217.759999999995</v>
      </c>
      <c r="G81" s="90">
        <f>+G74+G78</f>
        <v>6725.6299999999992</v>
      </c>
      <c r="H81" s="97">
        <f>+E81-F81-G81</f>
        <v>0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>
        <v>2000</v>
      </c>
      <c r="G82" s="101">
        <v>2000</v>
      </c>
      <c r="H82" s="114">
        <f t="shared" si="8"/>
        <v>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2000</v>
      </c>
      <c r="G84" s="30">
        <f>SUM(G82)</f>
        <v>2000</v>
      </c>
      <c r="H84" s="33">
        <f t="shared" si="8"/>
        <v>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7144.68</v>
      </c>
      <c r="G87" s="89">
        <f t="shared" si="14"/>
        <v>2355.3200000000002</v>
      </c>
      <c r="H87" s="98">
        <f t="shared" si="14"/>
        <v>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11670.38</v>
      </c>
      <c r="E92" s="112">
        <f t="shared" ref="E92:E97" si="15">+C92+D92</f>
        <v>16670.379999999997</v>
      </c>
      <c r="F92" s="112">
        <v>16526.599999999999</v>
      </c>
      <c r="G92" s="117">
        <v>143.78</v>
      </c>
      <c r="H92" s="113">
        <v>0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14550.08</v>
      </c>
      <c r="E93" s="106">
        <f t="shared" si="15"/>
        <v>29550.080000000002</v>
      </c>
      <c r="F93" s="106">
        <v>29310.7</v>
      </c>
      <c r="G93" s="108">
        <v>239.38</v>
      </c>
      <c r="H93" s="114"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54442.19</v>
      </c>
      <c r="E95" s="106">
        <f t="shared" si="15"/>
        <v>69497.19</v>
      </c>
      <c r="F95" s="106">
        <v>67152.289999999994</v>
      </c>
      <c r="G95" s="108">
        <v>2344.9</v>
      </c>
      <c r="H95" s="114">
        <v>0</v>
      </c>
      <c r="I95" s="118"/>
    </row>
    <row r="96" spans="1:9" s="119" customFormat="1" x14ac:dyDescent="0.2">
      <c r="A96" s="8">
        <v>61105</v>
      </c>
      <c r="B96" s="24" t="s">
        <v>93</v>
      </c>
      <c r="C96" s="108">
        <v>0</v>
      </c>
      <c r="D96" s="108">
        <v>55086.91</v>
      </c>
      <c r="E96" s="106">
        <f t="shared" si="15"/>
        <v>55086.91</v>
      </c>
      <c r="F96" s="106">
        <v>53000</v>
      </c>
      <c r="G96" s="108">
        <v>2086.91</v>
      </c>
      <c r="H96" s="114">
        <v>0</v>
      </c>
      <c r="I96" s="118"/>
    </row>
    <row r="97" spans="1:11" s="10" customFormat="1" x14ac:dyDescent="0.2">
      <c r="A97" s="7">
        <v>61108</v>
      </c>
      <c r="B97" s="4" t="s">
        <v>27</v>
      </c>
      <c r="C97" s="101">
        <v>1000</v>
      </c>
      <c r="D97" s="101">
        <v>3190</v>
      </c>
      <c r="E97" s="106">
        <f t="shared" si="15"/>
        <v>4190</v>
      </c>
      <c r="F97" s="106">
        <v>3750.88</v>
      </c>
      <c r="G97" s="101">
        <v>439.12</v>
      </c>
      <c r="H97" s="114">
        <f t="shared" si="8"/>
        <v>0</v>
      </c>
      <c r="I97" s="11"/>
    </row>
    <row r="98" spans="1:11" s="10" customFormat="1" x14ac:dyDescent="0.2">
      <c r="A98" s="8"/>
      <c r="B98" s="29" t="s">
        <v>56</v>
      </c>
      <c r="C98" s="30">
        <f t="shared" ref="C98:H98" si="16">SUM(C92:C97)</f>
        <v>36555</v>
      </c>
      <c r="D98" s="30">
        <f t="shared" si="16"/>
        <v>138494.56</v>
      </c>
      <c r="E98" s="30">
        <f t="shared" si="16"/>
        <v>175049.56</v>
      </c>
      <c r="F98" s="30">
        <f t="shared" si="16"/>
        <v>169795.47</v>
      </c>
      <c r="G98" s="30">
        <f t="shared" si="16"/>
        <v>5254.0899999999992</v>
      </c>
      <c r="H98" s="33">
        <f t="shared" si="16"/>
        <v>0</v>
      </c>
      <c r="I98" s="11"/>
    </row>
    <row r="99" spans="1:11" s="10" customFormat="1" x14ac:dyDescent="0.2">
      <c r="A99" s="7">
        <v>61403</v>
      </c>
      <c r="B99" s="4" t="s">
        <v>82</v>
      </c>
      <c r="C99" s="101">
        <v>0</v>
      </c>
      <c r="D99" s="101">
        <f>6896.43+1191.82</f>
        <v>8088.25</v>
      </c>
      <c r="E99" s="106">
        <f>+C99+D99</f>
        <v>8088.25</v>
      </c>
      <c r="F99" s="101">
        <v>8088.25</v>
      </c>
      <c r="G99" s="101">
        <v>0</v>
      </c>
      <c r="H99" s="114">
        <f t="shared" si="8"/>
        <v>0</v>
      </c>
      <c r="I99" s="11"/>
    </row>
    <row r="100" spans="1:11" s="10" customFormat="1" ht="13.5" thickBot="1" x14ac:dyDescent="0.25">
      <c r="A100" s="71"/>
      <c r="B100" s="72" t="s">
        <v>56</v>
      </c>
      <c r="C100" s="73">
        <f>+C99</f>
        <v>0</v>
      </c>
      <c r="D100" s="73">
        <f>+D99</f>
        <v>8088.25</v>
      </c>
      <c r="E100" s="73">
        <f>+E99</f>
        <v>8088.25</v>
      </c>
      <c r="F100" s="73">
        <f>+F99</f>
        <v>8088.25</v>
      </c>
      <c r="G100" s="73">
        <f>SUM(G99)</f>
        <v>0</v>
      </c>
      <c r="H100" s="180">
        <f t="shared" si="8"/>
        <v>0</v>
      </c>
      <c r="I100" s="11"/>
    </row>
    <row r="101" spans="1:11" s="10" customFormat="1" ht="13.5" thickBot="1" x14ac:dyDescent="0.25">
      <c r="A101" s="62"/>
      <c r="B101" s="48" t="s">
        <v>11</v>
      </c>
      <c r="C101" s="49">
        <f>+C98+C100</f>
        <v>36555</v>
      </c>
      <c r="D101" s="49">
        <f>+D100+D98</f>
        <v>146582.81</v>
      </c>
      <c r="E101" s="80">
        <f>+E100+E98</f>
        <v>183137.81</v>
      </c>
      <c r="F101" s="85">
        <f>+F100+F98</f>
        <v>177883.72</v>
      </c>
      <c r="G101" s="87">
        <f>+G98</f>
        <v>5254.0899999999992</v>
      </c>
      <c r="H101" s="99">
        <f>+H100+H98</f>
        <v>0</v>
      </c>
      <c r="I101" s="11"/>
    </row>
    <row r="102" spans="1:11" x14ac:dyDescent="0.2">
      <c r="A102" s="67"/>
      <c r="B102" s="68" t="s">
        <v>2</v>
      </c>
      <c r="C102" s="69">
        <f>+C101+C87+C81+C72+C24</f>
        <v>10187404</v>
      </c>
      <c r="D102" s="70">
        <f>+D101+D87+D81+D72+D24</f>
        <v>0</v>
      </c>
      <c r="E102" s="81">
        <f>+E24+E72+E81+E101+E87</f>
        <v>10187404.000000002</v>
      </c>
      <c r="F102" s="86">
        <f>+F24+F72+F81+F101+F87</f>
        <v>9760845.4300000016</v>
      </c>
      <c r="G102" s="88">
        <f>+G24+G72+G81+G101+G87</f>
        <v>426558.57000000007</v>
      </c>
      <c r="H102" s="192">
        <f>+H24+H72+H81+H101+H87</f>
        <v>0</v>
      </c>
      <c r="I102" s="2"/>
      <c r="J102" s="3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  <c r="K103" s="2"/>
    </row>
    <row r="104" spans="1:11" x14ac:dyDescent="0.2">
      <c r="C104" s="9"/>
      <c r="D104" s="9"/>
      <c r="E104" s="9"/>
      <c r="F104" s="9"/>
      <c r="G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H109" s="2"/>
      <c r="I109" s="2"/>
    </row>
    <row r="110" spans="1:11" x14ac:dyDescent="0.2">
      <c r="C110" s="9"/>
      <c r="D110" s="9"/>
      <c r="E110" s="9"/>
      <c r="F110" s="9"/>
      <c r="G110" s="9"/>
      <c r="J110" s="2"/>
    </row>
    <row r="111" spans="1:11" x14ac:dyDescent="0.2">
      <c r="C111" s="9"/>
      <c r="D111" s="9"/>
      <c r="E111" s="9"/>
      <c r="F111" s="9"/>
      <c r="G111" s="9"/>
    </row>
    <row r="112" spans="1:11" x14ac:dyDescent="0.2">
      <c r="C112" s="13"/>
      <c r="D112" s="13"/>
      <c r="E112" s="13"/>
      <c r="F112" s="13"/>
      <c r="G112" s="13"/>
      <c r="H112" s="13"/>
    </row>
    <row r="113" spans="3:8" x14ac:dyDescent="0.2">
      <c r="C113" s="15"/>
      <c r="D113" s="15"/>
      <c r="E113" s="15"/>
      <c r="F113" s="15"/>
      <c r="G113" s="15"/>
      <c r="H113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</vt:i4>
      </vt:variant>
    </vt:vector>
  </HeadingPairs>
  <TitlesOfParts>
    <vt:vector size="13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EJECUCION AGO - 19</vt:lpstr>
      <vt:lpstr>EJECUCION SEPT - 19</vt:lpstr>
      <vt:lpstr>EJECUCION OCT - 19</vt:lpstr>
      <vt:lpstr>EJECUCION NOV - 19</vt:lpstr>
      <vt:lpstr>EJECUCION DIC - 19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2020-07-29T03:05:33Z</dcterms:modified>
</cp:coreProperties>
</file>