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ejecución presupuestaria\2018\"/>
    </mc:Choice>
  </mc:AlternateContent>
  <bookViews>
    <workbookView xWindow="0" yWindow="0" windowWidth="21600" windowHeight="9630" activeTab="5"/>
  </bookViews>
  <sheets>
    <sheet name="julio" sheetId="7" r:id="rId1"/>
    <sheet name="agosto" sheetId="1" r:id="rId2"/>
    <sheet name="septiembre" sheetId="2" r:id="rId3"/>
    <sheet name="octubre" sheetId="3" r:id="rId4"/>
    <sheet name="noviembre" sheetId="4" r:id="rId5"/>
    <sheet name="diciembre" sheetId="5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9" i="7" l="1"/>
  <c r="G98" i="7"/>
  <c r="F98" i="7"/>
  <c r="F99" i="7" s="1"/>
  <c r="D98" i="7"/>
  <c r="C98" i="7"/>
  <c r="H97" i="7"/>
  <c r="E97" i="7"/>
  <c r="E98" i="7" s="1"/>
  <c r="G96" i="7"/>
  <c r="F96" i="7"/>
  <c r="D96" i="7"/>
  <c r="C96" i="7"/>
  <c r="C99" i="7" s="1"/>
  <c r="C100" i="7" s="1"/>
  <c r="H95" i="7"/>
  <c r="E95" i="7"/>
  <c r="E94" i="7"/>
  <c r="H94" i="7" s="1"/>
  <c r="H93" i="7"/>
  <c r="E93" i="7"/>
  <c r="E92" i="7"/>
  <c r="H92" i="7" s="1"/>
  <c r="H91" i="7"/>
  <c r="E91" i="7"/>
  <c r="E96" i="7" s="1"/>
  <c r="H96" i="7" s="1"/>
  <c r="G85" i="7"/>
  <c r="F85" i="7"/>
  <c r="C85" i="7"/>
  <c r="G84" i="7"/>
  <c r="F84" i="7"/>
  <c r="D84" i="7"/>
  <c r="C84" i="7"/>
  <c r="E83" i="7"/>
  <c r="E84" i="7" s="1"/>
  <c r="H84" i="7" s="1"/>
  <c r="G82" i="7"/>
  <c r="F82" i="7"/>
  <c r="D82" i="7"/>
  <c r="D85" i="7" s="1"/>
  <c r="C82" i="7"/>
  <c r="E81" i="7"/>
  <c r="E82" i="7" s="1"/>
  <c r="H80" i="7"/>
  <c r="E80" i="7"/>
  <c r="G79" i="7"/>
  <c r="F79" i="7"/>
  <c r="C79" i="7"/>
  <c r="G78" i="7"/>
  <c r="F78" i="7"/>
  <c r="D78" i="7"/>
  <c r="C78" i="7"/>
  <c r="E77" i="7"/>
  <c r="H77" i="7" s="1"/>
  <c r="H76" i="7"/>
  <c r="E76" i="7"/>
  <c r="E75" i="7"/>
  <c r="E78" i="7" s="1"/>
  <c r="G74" i="7"/>
  <c r="F74" i="7"/>
  <c r="D74" i="7"/>
  <c r="D79" i="7" s="1"/>
  <c r="C74" i="7"/>
  <c r="E73" i="7"/>
  <c r="E74" i="7" s="1"/>
  <c r="H74" i="7" s="1"/>
  <c r="G71" i="7"/>
  <c r="G72" i="7" s="1"/>
  <c r="F71" i="7"/>
  <c r="F72" i="7" s="1"/>
  <c r="D71" i="7"/>
  <c r="C71" i="7"/>
  <c r="C72" i="7" s="1"/>
  <c r="H70" i="7"/>
  <c r="E70" i="7"/>
  <c r="E69" i="7"/>
  <c r="E71" i="7" s="1"/>
  <c r="G68" i="7"/>
  <c r="F68" i="7"/>
  <c r="D68" i="7"/>
  <c r="D72" i="7" s="1"/>
  <c r="C68" i="7"/>
  <c r="E67" i="7"/>
  <c r="H67" i="7" s="1"/>
  <c r="H66" i="7"/>
  <c r="E66" i="7"/>
  <c r="E65" i="7"/>
  <c r="H65" i="7" s="1"/>
  <c r="G64" i="7"/>
  <c r="F64" i="7"/>
  <c r="D64" i="7"/>
  <c r="C64" i="7"/>
  <c r="E63" i="7"/>
  <c r="H63" i="7" s="1"/>
  <c r="H62" i="7"/>
  <c r="E62" i="7"/>
  <c r="E61" i="7"/>
  <c r="H61" i="7" s="1"/>
  <c r="H60" i="7"/>
  <c r="E60" i="7"/>
  <c r="E59" i="7"/>
  <c r="H59" i="7" s="1"/>
  <c r="H58" i="7"/>
  <c r="E58" i="7"/>
  <c r="E57" i="7"/>
  <c r="H57" i="7" s="1"/>
  <c r="H56" i="7"/>
  <c r="E56" i="7"/>
  <c r="E55" i="7"/>
  <c r="H55" i="7" s="1"/>
  <c r="H54" i="7"/>
  <c r="E54" i="7"/>
  <c r="E53" i="7"/>
  <c r="H53" i="7" s="1"/>
  <c r="F52" i="7"/>
  <c r="D52" i="7"/>
  <c r="C52" i="7"/>
  <c r="E51" i="7"/>
  <c r="H51" i="7" s="1"/>
  <c r="H50" i="7"/>
  <c r="G50" i="7"/>
  <c r="E50" i="7"/>
  <c r="E49" i="7"/>
  <c r="H49" i="7" s="1"/>
  <c r="G48" i="7"/>
  <c r="G52" i="7" s="1"/>
  <c r="E48" i="7"/>
  <c r="E52" i="7" s="1"/>
  <c r="H52" i="7" s="1"/>
  <c r="G43" i="7"/>
  <c r="F43" i="7"/>
  <c r="D43" i="7"/>
  <c r="C43" i="7"/>
  <c r="E42" i="7"/>
  <c r="H42" i="7" s="1"/>
  <c r="H41" i="7"/>
  <c r="E41" i="7"/>
  <c r="E40" i="7"/>
  <c r="H40" i="7" s="1"/>
  <c r="H39" i="7"/>
  <c r="E39" i="7"/>
  <c r="E38" i="7"/>
  <c r="H38" i="7" s="1"/>
  <c r="H37" i="7"/>
  <c r="E37" i="7"/>
  <c r="E36" i="7"/>
  <c r="H36" i="7" s="1"/>
  <c r="H35" i="7"/>
  <c r="E35" i="7"/>
  <c r="E34" i="7"/>
  <c r="H34" i="7" s="1"/>
  <c r="H33" i="7"/>
  <c r="E33" i="7"/>
  <c r="E32" i="7"/>
  <c r="H32" i="7" s="1"/>
  <c r="H31" i="7"/>
  <c r="E31" i="7"/>
  <c r="E30" i="7"/>
  <c r="H30" i="7" s="1"/>
  <c r="H29" i="7"/>
  <c r="E29" i="7"/>
  <c r="E28" i="7"/>
  <c r="H28" i="7" s="1"/>
  <c r="H27" i="7"/>
  <c r="E27" i="7"/>
  <c r="E26" i="7"/>
  <c r="H26" i="7" s="1"/>
  <c r="H25" i="7"/>
  <c r="E25" i="7"/>
  <c r="F24" i="7"/>
  <c r="D24" i="7"/>
  <c r="C24" i="7"/>
  <c r="H23" i="7"/>
  <c r="E23" i="7"/>
  <c r="G22" i="7"/>
  <c r="E22" i="7"/>
  <c r="H22" i="7" s="1"/>
  <c r="E21" i="7"/>
  <c r="H21" i="7" s="1"/>
  <c r="G20" i="7"/>
  <c r="H20" i="7" s="1"/>
  <c r="E20" i="7"/>
  <c r="E19" i="7"/>
  <c r="H19" i="7" s="1"/>
  <c r="H18" i="7"/>
  <c r="G18" i="7"/>
  <c r="E18" i="7"/>
  <c r="G17" i="7"/>
  <c r="H17" i="7" s="1"/>
  <c r="E17" i="7"/>
  <c r="G16" i="7"/>
  <c r="E16" i="7"/>
  <c r="H16" i="7" s="1"/>
  <c r="G15" i="7"/>
  <c r="E15" i="7"/>
  <c r="H15" i="7" s="1"/>
  <c r="H14" i="7"/>
  <c r="E14" i="7"/>
  <c r="E13" i="7"/>
  <c r="H13" i="7" s="1"/>
  <c r="H12" i="7"/>
  <c r="G12" i="7"/>
  <c r="E12" i="7"/>
  <c r="E11" i="7"/>
  <c r="H11" i="7" s="1"/>
  <c r="E10" i="7"/>
  <c r="H10" i="7" s="1"/>
  <c r="G9" i="7"/>
  <c r="G24" i="7" s="1"/>
  <c r="G100" i="7" s="1"/>
  <c r="E9" i="7"/>
  <c r="E24" i="7" s="1"/>
  <c r="E85" i="7" l="1"/>
  <c r="H82" i="7"/>
  <c r="H85" i="7" s="1"/>
  <c r="F100" i="7"/>
  <c r="E99" i="7"/>
  <c r="H98" i="7"/>
  <c r="H99" i="7" s="1"/>
  <c r="H71" i="7"/>
  <c r="H78" i="7"/>
  <c r="E79" i="7"/>
  <c r="H79" i="7" s="1"/>
  <c r="D100" i="7"/>
  <c r="H9" i="7"/>
  <c r="H24" i="7" s="1"/>
  <c r="E43" i="7"/>
  <c r="H43" i="7" s="1"/>
  <c r="E64" i="7"/>
  <c r="H64" i="7" s="1"/>
  <c r="E68" i="7"/>
  <c r="H68" i="7" s="1"/>
  <c r="H69" i="7"/>
  <c r="H73" i="7"/>
  <c r="H75" i="7"/>
  <c r="H81" i="7"/>
  <c r="H83" i="7"/>
  <c r="H48" i="7"/>
  <c r="E72" i="7" l="1"/>
  <c r="H72" i="7" l="1"/>
  <c r="E100" i="7"/>
  <c r="H100" i="7" s="1"/>
  <c r="G101" i="5" l="1"/>
  <c r="C101" i="5"/>
  <c r="G100" i="5"/>
  <c r="F100" i="5"/>
  <c r="F101" i="5" s="1"/>
  <c r="D100" i="5"/>
  <c r="C100" i="5"/>
  <c r="E99" i="5"/>
  <c r="E100" i="5" s="1"/>
  <c r="G98" i="5"/>
  <c r="F98" i="5"/>
  <c r="D98" i="5"/>
  <c r="D101" i="5" s="1"/>
  <c r="C98" i="5"/>
  <c r="E97" i="5"/>
  <c r="H97" i="5" s="1"/>
  <c r="E96" i="5"/>
  <c r="H96" i="5" s="1"/>
  <c r="E95" i="5"/>
  <c r="H95" i="5" s="1"/>
  <c r="E94" i="5"/>
  <c r="H94" i="5" s="1"/>
  <c r="E93" i="5"/>
  <c r="E98" i="5" s="1"/>
  <c r="H98" i="5" s="1"/>
  <c r="E92" i="5"/>
  <c r="H92" i="5" s="1"/>
  <c r="G86" i="5"/>
  <c r="C86" i="5"/>
  <c r="G85" i="5"/>
  <c r="F85" i="5"/>
  <c r="D85" i="5"/>
  <c r="C85" i="5"/>
  <c r="E84" i="5"/>
  <c r="E85" i="5" s="1"/>
  <c r="H85" i="5" s="1"/>
  <c r="G83" i="5"/>
  <c r="F83" i="5"/>
  <c r="F86" i="5" s="1"/>
  <c r="D83" i="5"/>
  <c r="D86" i="5" s="1"/>
  <c r="C83" i="5"/>
  <c r="E82" i="5"/>
  <c r="E83" i="5" s="1"/>
  <c r="E81" i="5"/>
  <c r="H81" i="5" s="1"/>
  <c r="C80" i="5"/>
  <c r="G79" i="5"/>
  <c r="F79" i="5"/>
  <c r="F80" i="5" s="1"/>
  <c r="D79" i="5"/>
  <c r="C79" i="5"/>
  <c r="E78" i="5"/>
  <c r="H78" i="5" s="1"/>
  <c r="E77" i="5"/>
  <c r="H77" i="5" s="1"/>
  <c r="E76" i="5"/>
  <c r="H76" i="5" s="1"/>
  <c r="F75" i="5"/>
  <c r="E75" i="5"/>
  <c r="H75" i="5" s="1"/>
  <c r="D75" i="5"/>
  <c r="D80" i="5" s="1"/>
  <c r="C75" i="5"/>
  <c r="G74" i="5"/>
  <c r="G75" i="5" s="1"/>
  <c r="G80" i="5" s="1"/>
  <c r="E74" i="5"/>
  <c r="H74" i="5" s="1"/>
  <c r="F73" i="5"/>
  <c r="F72" i="5"/>
  <c r="D72" i="5"/>
  <c r="D73" i="5" s="1"/>
  <c r="C72" i="5"/>
  <c r="C73" i="5" s="1"/>
  <c r="G71" i="5"/>
  <c r="G72" i="5" s="1"/>
  <c r="G73" i="5" s="1"/>
  <c r="E71" i="5"/>
  <c r="H71" i="5" s="1"/>
  <c r="E70" i="5"/>
  <c r="H70" i="5" s="1"/>
  <c r="G69" i="5"/>
  <c r="F69" i="5"/>
  <c r="D69" i="5"/>
  <c r="C69" i="5"/>
  <c r="E68" i="5"/>
  <c r="H68" i="5" s="1"/>
  <c r="E67" i="5"/>
  <c r="H67" i="5" s="1"/>
  <c r="E66" i="5"/>
  <c r="H66" i="5" s="1"/>
  <c r="G65" i="5"/>
  <c r="F65" i="5"/>
  <c r="D65" i="5"/>
  <c r="C65" i="5"/>
  <c r="E64" i="5"/>
  <c r="H64" i="5" s="1"/>
  <c r="E63" i="5"/>
  <c r="H63" i="5" s="1"/>
  <c r="E62" i="5"/>
  <c r="H62" i="5" s="1"/>
  <c r="E61" i="5"/>
  <c r="H61" i="5" s="1"/>
  <c r="E60" i="5"/>
  <c r="H60" i="5" s="1"/>
  <c r="E59" i="5"/>
  <c r="H59" i="5" s="1"/>
  <c r="E58" i="5"/>
  <c r="H58" i="5" s="1"/>
  <c r="E57" i="5"/>
  <c r="H57" i="5" s="1"/>
  <c r="E56" i="5"/>
  <c r="H56" i="5" s="1"/>
  <c r="E55" i="5"/>
  <c r="H55" i="5" s="1"/>
  <c r="E54" i="5"/>
  <c r="H54" i="5" s="1"/>
  <c r="E53" i="5"/>
  <c r="E65" i="5" s="1"/>
  <c r="H65" i="5" s="1"/>
  <c r="G52" i="5"/>
  <c r="F52" i="5"/>
  <c r="D52" i="5"/>
  <c r="C52" i="5"/>
  <c r="E51" i="5"/>
  <c r="H51" i="5" s="1"/>
  <c r="E50" i="5"/>
  <c r="H50" i="5" s="1"/>
  <c r="E49" i="5"/>
  <c r="E52" i="5" s="1"/>
  <c r="H52" i="5" s="1"/>
  <c r="E48" i="5"/>
  <c r="H48" i="5" s="1"/>
  <c r="G43" i="5"/>
  <c r="F43" i="5"/>
  <c r="D43" i="5"/>
  <c r="C43" i="5"/>
  <c r="E42" i="5"/>
  <c r="H42" i="5" s="1"/>
  <c r="E41" i="5"/>
  <c r="H41" i="5" s="1"/>
  <c r="E40" i="5"/>
  <c r="H40" i="5" s="1"/>
  <c r="E39" i="5"/>
  <c r="H39" i="5" s="1"/>
  <c r="E38" i="5"/>
  <c r="H38" i="5" s="1"/>
  <c r="E37" i="5"/>
  <c r="H37" i="5" s="1"/>
  <c r="E36" i="5"/>
  <c r="H36" i="5" s="1"/>
  <c r="E35" i="5"/>
  <c r="H35" i="5" s="1"/>
  <c r="E34" i="5"/>
  <c r="H34" i="5" s="1"/>
  <c r="E33" i="5"/>
  <c r="H33" i="5" s="1"/>
  <c r="E32" i="5"/>
  <c r="H32" i="5" s="1"/>
  <c r="E31" i="5"/>
  <c r="H31" i="5" s="1"/>
  <c r="E30" i="5"/>
  <c r="H30" i="5" s="1"/>
  <c r="E29" i="5"/>
  <c r="H29" i="5" s="1"/>
  <c r="E28" i="5"/>
  <c r="H28" i="5" s="1"/>
  <c r="E27" i="5"/>
  <c r="H27" i="5" s="1"/>
  <c r="E26" i="5"/>
  <c r="H26" i="5" s="1"/>
  <c r="E25" i="5"/>
  <c r="E43" i="5" s="1"/>
  <c r="H43" i="5" s="1"/>
  <c r="F24" i="5"/>
  <c r="D24" i="5"/>
  <c r="C24" i="5"/>
  <c r="E23" i="5"/>
  <c r="H23" i="5" s="1"/>
  <c r="E22" i="5"/>
  <c r="H22" i="5" s="1"/>
  <c r="G21" i="5"/>
  <c r="E21" i="5"/>
  <c r="H21" i="5" s="1"/>
  <c r="G20" i="5"/>
  <c r="E20" i="5"/>
  <c r="H20" i="5" s="1"/>
  <c r="E19" i="5"/>
  <c r="H19" i="5" s="1"/>
  <c r="E18" i="5"/>
  <c r="H18" i="5" s="1"/>
  <c r="E17" i="5"/>
  <c r="H17" i="5" s="1"/>
  <c r="E16" i="5"/>
  <c r="H16" i="5" s="1"/>
  <c r="E15" i="5"/>
  <c r="H15" i="5" s="1"/>
  <c r="E14" i="5"/>
  <c r="H14" i="5" s="1"/>
  <c r="E13" i="5"/>
  <c r="H13" i="5" s="1"/>
  <c r="E12" i="5"/>
  <c r="E24" i="5" s="1"/>
  <c r="G11" i="5"/>
  <c r="H11" i="5" s="1"/>
  <c r="E11" i="5"/>
  <c r="H10" i="5"/>
  <c r="E10" i="5"/>
  <c r="H9" i="5"/>
  <c r="E9" i="5"/>
  <c r="F100" i="4"/>
  <c r="G99" i="4"/>
  <c r="F99" i="4"/>
  <c r="D99" i="4"/>
  <c r="D100" i="4" s="1"/>
  <c r="D101" i="4" s="1"/>
  <c r="C99" i="4"/>
  <c r="H98" i="4"/>
  <c r="E98" i="4"/>
  <c r="E99" i="4" s="1"/>
  <c r="G97" i="4"/>
  <c r="F97" i="4"/>
  <c r="D97" i="4"/>
  <c r="C97" i="4"/>
  <c r="C100" i="4" s="1"/>
  <c r="H96" i="4"/>
  <c r="E96" i="4"/>
  <c r="H95" i="4"/>
  <c r="E95" i="4"/>
  <c r="H94" i="4"/>
  <c r="E94" i="4"/>
  <c r="H93" i="4"/>
  <c r="E93" i="4"/>
  <c r="H92" i="4"/>
  <c r="E92" i="4"/>
  <c r="E97" i="4" s="1"/>
  <c r="H97" i="4" s="1"/>
  <c r="G86" i="4"/>
  <c r="D86" i="4"/>
  <c r="C86" i="4"/>
  <c r="G85" i="4"/>
  <c r="F85" i="4"/>
  <c r="D85" i="4"/>
  <c r="C85" i="4"/>
  <c r="H84" i="4"/>
  <c r="E84" i="4"/>
  <c r="E85" i="4" s="1"/>
  <c r="H85" i="4" s="1"/>
  <c r="G83" i="4"/>
  <c r="F83" i="4"/>
  <c r="F86" i="4" s="1"/>
  <c r="D83" i="4"/>
  <c r="C83" i="4"/>
  <c r="H82" i="4"/>
  <c r="E82" i="4"/>
  <c r="E83" i="4" s="1"/>
  <c r="E81" i="4"/>
  <c r="H81" i="4" s="1"/>
  <c r="D80" i="4"/>
  <c r="G79" i="4"/>
  <c r="F79" i="4"/>
  <c r="F80" i="4" s="1"/>
  <c r="D79" i="4"/>
  <c r="C79" i="4"/>
  <c r="H78" i="4"/>
  <c r="E78" i="4"/>
  <c r="E77" i="4"/>
  <c r="H77" i="4" s="1"/>
  <c r="H76" i="4"/>
  <c r="E76" i="4"/>
  <c r="E79" i="4" s="1"/>
  <c r="F75" i="4"/>
  <c r="E75" i="4"/>
  <c r="D75" i="4"/>
  <c r="C75" i="4"/>
  <c r="C80" i="4" s="1"/>
  <c r="H74" i="4"/>
  <c r="G74" i="4"/>
  <c r="G75" i="4" s="1"/>
  <c r="G80" i="4" s="1"/>
  <c r="E74" i="4"/>
  <c r="G72" i="4"/>
  <c r="F72" i="4"/>
  <c r="D72" i="4"/>
  <c r="C72" i="4"/>
  <c r="E71" i="4"/>
  <c r="E72" i="4" s="1"/>
  <c r="H70" i="4"/>
  <c r="E70" i="4"/>
  <c r="G69" i="4"/>
  <c r="F69" i="4"/>
  <c r="F73" i="4" s="1"/>
  <c r="D69" i="4"/>
  <c r="C69" i="4"/>
  <c r="C73" i="4" s="1"/>
  <c r="H68" i="4"/>
  <c r="E68" i="4"/>
  <c r="E67" i="4"/>
  <c r="H67" i="4" s="1"/>
  <c r="H66" i="4"/>
  <c r="E66" i="4"/>
  <c r="E69" i="4" s="1"/>
  <c r="H69" i="4" s="1"/>
  <c r="G65" i="4"/>
  <c r="F65" i="4"/>
  <c r="D65" i="4"/>
  <c r="C65" i="4"/>
  <c r="H64" i="4"/>
  <c r="E64" i="4"/>
  <c r="E63" i="4"/>
  <c r="H63" i="4" s="1"/>
  <c r="H62" i="4"/>
  <c r="E62" i="4"/>
  <c r="E61" i="4"/>
  <c r="H61" i="4" s="1"/>
  <c r="H60" i="4"/>
  <c r="E60" i="4"/>
  <c r="E59" i="4"/>
  <c r="H59" i="4" s="1"/>
  <c r="H58" i="4"/>
  <c r="E58" i="4"/>
  <c r="E57" i="4"/>
  <c r="H57" i="4" s="1"/>
  <c r="H56" i="4"/>
  <c r="E56" i="4"/>
  <c r="E55" i="4"/>
  <c r="H55" i="4" s="1"/>
  <c r="H54" i="4"/>
  <c r="E54" i="4"/>
  <c r="E53" i="4"/>
  <c r="E65" i="4" s="1"/>
  <c r="H65" i="4" s="1"/>
  <c r="F52" i="4"/>
  <c r="D52" i="4"/>
  <c r="C52" i="4"/>
  <c r="E51" i="4"/>
  <c r="H51" i="4" s="1"/>
  <c r="H50" i="4"/>
  <c r="G50" i="4"/>
  <c r="E50" i="4"/>
  <c r="H49" i="4"/>
  <c r="E49" i="4"/>
  <c r="G48" i="4"/>
  <c r="G52" i="4" s="1"/>
  <c r="E48" i="4"/>
  <c r="H48" i="4" s="1"/>
  <c r="F43" i="4"/>
  <c r="D43" i="4"/>
  <c r="D73" i="4" s="1"/>
  <c r="C43" i="4"/>
  <c r="E42" i="4"/>
  <c r="H42" i="4" s="1"/>
  <c r="H41" i="4"/>
  <c r="E41" i="4"/>
  <c r="E40" i="4"/>
  <c r="H40" i="4" s="1"/>
  <c r="H39" i="4"/>
  <c r="E39" i="4"/>
  <c r="E38" i="4"/>
  <c r="H38" i="4" s="1"/>
  <c r="H37" i="4"/>
  <c r="E37" i="4"/>
  <c r="E36" i="4"/>
  <c r="H36" i="4" s="1"/>
  <c r="H35" i="4"/>
  <c r="E35" i="4"/>
  <c r="E34" i="4"/>
  <c r="E43" i="4" s="1"/>
  <c r="H43" i="4" s="1"/>
  <c r="H33" i="4"/>
  <c r="G33" i="4"/>
  <c r="G43" i="4" s="1"/>
  <c r="E33" i="4"/>
  <c r="H32" i="4"/>
  <c r="E32" i="4"/>
  <c r="H31" i="4"/>
  <c r="E31" i="4"/>
  <c r="H30" i="4"/>
  <c r="E30" i="4"/>
  <c r="H29" i="4"/>
  <c r="E29" i="4"/>
  <c r="H28" i="4"/>
  <c r="E28" i="4"/>
  <c r="H27" i="4"/>
  <c r="E27" i="4"/>
  <c r="H26" i="4"/>
  <c r="E26" i="4"/>
  <c r="H25" i="4"/>
  <c r="E25" i="4"/>
  <c r="F24" i="4"/>
  <c r="D24" i="4"/>
  <c r="C24" i="4"/>
  <c r="H23" i="4"/>
  <c r="E23" i="4"/>
  <c r="H22" i="4"/>
  <c r="G22" i="4"/>
  <c r="E22" i="4"/>
  <c r="E21" i="4"/>
  <c r="H21" i="4" s="1"/>
  <c r="G20" i="4"/>
  <c r="H20" i="4" s="1"/>
  <c r="E20" i="4"/>
  <c r="H19" i="4"/>
  <c r="E19" i="4"/>
  <c r="G18" i="4"/>
  <c r="E18" i="4"/>
  <c r="H18" i="4" s="1"/>
  <c r="G17" i="4"/>
  <c r="H17" i="4" s="1"/>
  <c r="E17" i="4"/>
  <c r="H16" i="4"/>
  <c r="G16" i="4"/>
  <c r="E16" i="4"/>
  <c r="G15" i="4"/>
  <c r="E15" i="4"/>
  <c r="H15" i="4" s="1"/>
  <c r="H14" i="4"/>
  <c r="E14" i="4"/>
  <c r="H13" i="4"/>
  <c r="E13" i="4"/>
  <c r="G12" i="4"/>
  <c r="E12" i="4"/>
  <c r="H12" i="4" s="1"/>
  <c r="E11" i="4"/>
  <c r="H11" i="4" s="1"/>
  <c r="E10" i="4"/>
  <c r="H10" i="4" s="1"/>
  <c r="G9" i="4"/>
  <c r="G24" i="4" s="1"/>
  <c r="E9" i="4"/>
  <c r="E24" i="4" s="1"/>
  <c r="F99" i="3"/>
  <c r="G98" i="3"/>
  <c r="F98" i="3"/>
  <c r="D98" i="3"/>
  <c r="D99" i="3" s="1"/>
  <c r="D100" i="3" s="1"/>
  <c r="C98" i="3"/>
  <c r="H97" i="3"/>
  <c r="E97" i="3"/>
  <c r="E98" i="3" s="1"/>
  <c r="G96" i="3"/>
  <c r="F96" i="3"/>
  <c r="D96" i="3"/>
  <c r="C96" i="3"/>
  <c r="C99" i="3" s="1"/>
  <c r="C100" i="3" s="1"/>
  <c r="H95" i="3"/>
  <c r="E95" i="3"/>
  <c r="H94" i="3"/>
  <c r="E94" i="3"/>
  <c r="H93" i="3"/>
  <c r="E93" i="3"/>
  <c r="H92" i="3"/>
  <c r="E92" i="3"/>
  <c r="H91" i="3"/>
  <c r="E91" i="3"/>
  <c r="E96" i="3" s="1"/>
  <c r="H96" i="3" s="1"/>
  <c r="G85" i="3"/>
  <c r="D85" i="3"/>
  <c r="C85" i="3"/>
  <c r="G84" i="3"/>
  <c r="F84" i="3"/>
  <c r="D84" i="3"/>
  <c r="C84" i="3"/>
  <c r="H83" i="3"/>
  <c r="E83" i="3"/>
  <c r="E84" i="3" s="1"/>
  <c r="H84" i="3" s="1"/>
  <c r="G82" i="3"/>
  <c r="F82" i="3"/>
  <c r="F85" i="3" s="1"/>
  <c r="D82" i="3"/>
  <c r="C82" i="3"/>
  <c r="H81" i="3"/>
  <c r="E81" i="3"/>
  <c r="E82" i="3" s="1"/>
  <c r="E80" i="3"/>
  <c r="H80" i="3" s="1"/>
  <c r="D79" i="3"/>
  <c r="C79" i="3"/>
  <c r="G78" i="3"/>
  <c r="F78" i="3"/>
  <c r="F79" i="3" s="1"/>
  <c r="D78" i="3"/>
  <c r="C78" i="3"/>
  <c r="H77" i="3"/>
  <c r="E77" i="3"/>
  <c r="E76" i="3"/>
  <c r="H76" i="3" s="1"/>
  <c r="H75" i="3"/>
  <c r="E75" i="3"/>
  <c r="E78" i="3" s="1"/>
  <c r="F74" i="3"/>
  <c r="E74" i="3"/>
  <c r="D74" i="3"/>
  <c r="C74" i="3"/>
  <c r="H73" i="3"/>
  <c r="G73" i="3"/>
  <c r="G74" i="3" s="1"/>
  <c r="G79" i="3" s="1"/>
  <c r="E73" i="3"/>
  <c r="G71" i="3"/>
  <c r="F71" i="3"/>
  <c r="D71" i="3"/>
  <c r="D72" i="3" s="1"/>
  <c r="C71" i="3"/>
  <c r="E70" i="3"/>
  <c r="E71" i="3" s="1"/>
  <c r="H69" i="3"/>
  <c r="E69" i="3"/>
  <c r="G68" i="3"/>
  <c r="G72" i="3" s="1"/>
  <c r="F68" i="3"/>
  <c r="F72" i="3" s="1"/>
  <c r="D68" i="3"/>
  <c r="C68" i="3"/>
  <c r="C72" i="3" s="1"/>
  <c r="H67" i="3"/>
  <c r="E67" i="3"/>
  <c r="E66" i="3"/>
  <c r="H66" i="3" s="1"/>
  <c r="H65" i="3"/>
  <c r="E65" i="3"/>
  <c r="E68" i="3" s="1"/>
  <c r="H68" i="3" s="1"/>
  <c r="G64" i="3"/>
  <c r="F64" i="3"/>
  <c r="D64" i="3"/>
  <c r="C64" i="3"/>
  <c r="H63" i="3"/>
  <c r="E63" i="3"/>
  <c r="E62" i="3"/>
  <c r="H62" i="3" s="1"/>
  <c r="H61" i="3"/>
  <c r="E61" i="3"/>
  <c r="E60" i="3"/>
  <c r="H60" i="3" s="1"/>
  <c r="H59" i="3"/>
  <c r="E59" i="3"/>
  <c r="E58" i="3"/>
  <c r="H58" i="3" s="1"/>
  <c r="H57" i="3"/>
  <c r="E57" i="3"/>
  <c r="E56" i="3"/>
  <c r="H56" i="3" s="1"/>
  <c r="H55" i="3"/>
  <c r="E55" i="3"/>
  <c r="E54" i="3"/>
  <c r="H54" i="3" s="1"/>
  <c r="H53" i="3"/>
  <c r="E53" i="3"/>
  <c r="E64" i="3" s="1"/>
  <c r="H64" i="3" s="1"/>
  <c r="F52" i="3"/>
  <c r="D52" i="3"/>
  <c r="C52" i="3"/>
  <c r="H51" i="3"/>
  <c r="E51" i="3"/>
  <c r="G50" i="3"/>
  <c r="G52" i="3" s="1"/>
  <c r="E50" i="3"/>
  <c r="H50" i="3" s="1"/>
  <c r="H49" i="3"/>
  <c r="E49" i="3"/>
  <c r="H48" i="3"/>
  <c r="G48" i="3"/>
  <c r="E48" i="3"/>
  <c r="E52" i="3" s="1"/>
  <c r="H52" i="3" s="1"/>
  <c r="F43" i="3"/>
  <c r="D43" i="3"/>
  <c r="C43" i="3"/>
  <c r="H42" i="3"/>
  <c r="E42" i="3"/>
  <c r="E41" i="3"/>
  <c r="H41" i="3" s="1"/>
  <c r="H40" i="3"/>
  <c r="E40" i="3"/>
  <c r="E39" i="3"/>
  <c r="H39" i="3" s="1"/>
  <c r="H38" i="3"/>
  <c r="E38" i="3"/>
  <c r="E37" i="3"/>
  <c r="H37" i="3" s="1"/>
  <c r="H36" i="3"/>
  <c r="E36" i="3"/>
  <c r="E35" i="3"/>
  <c r="H35" i="3" s="1"/>
  <c r="H34" i="3"/>
  <c r="E34" i="3"/>
  <c r="G33" i="3"/>
  <c r="G43" i="3" s="1"/>
  <c r="E33" i="3"/>
  <c r="H33" i="3" s="1"/>
  <c r="E32" i="3"/>
  <c r="H32" i="3" s="1"/>
  <c r="H31" i="3"/>
  <c r="E31" i="3"/>
  <c r="E30" i="3"/>
  <c r="H30" i="3" s="1"/>
  <c r="H29" i="3"/>
  <c r="E29" i="3"/>
  <c r="E28" i="3"/>
  <c r="H28" i="3" s="1"/>
  <c r="H27" i="3"/>
  <c r="E27" i="3"/>
  <c r="E26" i="3"/>
  <c r="H26" i="3" s="1"/>
  <c r="H25" i="3"/>
  <c r="E25" i="3"/>
  <c r="E43" i="3" s="1"/>
  <c r="H43" i="3" s="1"/>
  <c r="F24" i="3"/>
  <c r="D24" i="3"/>
  <c r="C24" i="3"/>
  <c r="H23" i="3"/>
  <c r="E23" i="3"/>
  <c r="G22" i="3"/>
  <c r="E22" i="3"/>
  <c r="H22" i="3" s="1"/>
  <c r="H21" i="3"/>
  <c r="E21" i="3"/>
  <c r="G20" i="3"/>
  <c r="E20" i="3"/>
  <c r="H20" i="3" s="1"/>
  <c r="E19" i="3"/>
  <c r="H19" i="3" s="1"/>
  <c r="H18" i="3"/>
  <c r="G18" i="3"/>
  <c r="E18" i="3"/>
  <c r="G17" i="3"/>
  <c r="E17" i="3"/>
  <c r="H17" i="3" s="1"/>
  <c r="G16" i="3"/>
  <c r="E16" i="3"/>
  <c r="H16" i="3" s="1"/>
  <c r="H15" i="3"/>
  <c r="G15" i="3"/>
  <c r="E15" i="3"/>
  <c r="H14" i="3"/>
  <c r="E14" i="3"/>
  <c r="E13" i="3"/>
  <c r="H13" i="3" s="1"/>
  <c r="H12" i="3"/>
  <c r="G12" i="3"/>
  <c r="E12" i="3"/>
  <c r="E11" i="3"/>
  <c r="H11" i="3" s="1"/>
  <c r="H10" i="3"/>
  <c r="E10" i="3"/>
  <c r="G9" i="3"/>
  <c r="G24" i="3" s="1"/>
  <c r="G100" i="3" s="1"/>
  <c r="E9" i="3"/>
  <c r="E24" i="3" s="1"/>
  <c r="F99" i="2"/>
  <c r="G98" i="2"/>
  <c r="F98" i="2"/>
  <c r="D98" i="2"/>
  <c r="D99" i="2" s="1"/>
  <c r="D100" i="2" s="1"/>
  <c r="C98" i="2"/>
  <c r="E97" i="2"/>
  <c r="H97" i="2" s="1"/>
  <c r="G96" i="2"/>
  <c r="F96" i="2"/>
  <c r="D96" i="2"/>
  <c r="C96" i="2"/>
  <c r="C99" i="2" s="1"/>
  <c r="E95" i="2"/>
  <c r="H95" i="2" s="1"/>
  <c r="H94" i="2"/>
  <c r="E94" i="2"/>
  <c r="E93" i="2"/>
  <c r="H93" i="2" s="1"/>
  <c r="H92" i="2"/>
  <c r="E92" i="2"/>
  <c r="E91" i="2"/>
  <c r="H91" i="2" s="1"/>
  <c r="D85" i="2"/>
  <c r="G84" i="2"/>
  <c r="F84" i="2"/>
  <c r="D84" i="2"/>
  <c r="C84" i="2"/>
  <c r="H83" i="2"/>
  <c r="E83" i="2"/>
  <c r="E84" i="2" s="1"/>
  <c r="H84" i="2" s="1"/>
  <c r="G82" i="2"/>
  <c r="G85" i="2" s="1"/>
  <c r="F82" i="2"/>
  <c r="F85" i="2" s="1"/>
  <c r="D82" i="2"/>
  <c r="C82" i="2"/>
  <c r="C85" i="2" s="1"/>
  <c r="H81" i="2"/>
  <c r="E81" i="2"/>
  <c r="E80" i="2"/>
  <c r="E82" i="2" s="1"/>
  <c r="D79" i="2"/>
  <c r="G78" i="2"/>
  <c r="F78" i="2"/>
  <c r="F79" i="2" s="1"/>
  <c r="D78" i="2"/>
  <c r="C78" i="2"/>
  <c r="C79" i="2" s="1"/>
  <c r="H77" i="2"/>
  <c r="E77" i="2"/>
  <c r="E76" i="2"/>
  <c r="H76" i="2" s="1"/>
  <c r="H75" i="2"/>
  <c r="E75" i="2"/>
  <c r="E78" i="2" s="1"/>
  <c r="G74" i="2"/>
  <c r="G79" i="2" s="1"/>
  <c r="F74" i="2"/>
  <c r="D74" i="2"/>
  <c r="C74" i="2"/>
  <c r="H73" i="2"/>
  <c r="E73" i="2"/>
  <c r="E74" i="2" s="1"/>
  <c r="H74" i="2" s="1"/>
  <c r="G71" i="2"/>
  <c r="G72" i="2" s="1"/>
  <c r="F71" i="2"/>
  <c r="D71" i="2"/>
  <c r="D72" i="2" s="1"/>
  <c r="C71" i="2"/>
  <c r="C72" i="2" s="1"/>
  <c r="E70" i="2"/>
  <c r="H70" i="2" s="1"/>
  <c r="H69" i="2"/>
  <c r="E69" i="2"/>
  <c r="E71" i="2" s="1"/>
  <c r="G68" i="2"/>
  <c r="F68" i="2"/>
  <c r="F72" i="2" s="1"/>
  <c r="D68" i="2"/>
  <c r="C68" i="2"/>
  <c r="H67" i="2"/>
  <c r="E67" i="2"/>
  <c r="E66" i="2"/>
  <c r="H66" i="2" s="1"/>
  <c r="H65" i="2"/>
  <c r="E65" i="2"/>
  <c r="E68" i="2" s="1"/>
  <c r="H68" i="2" s="1"/>
  <c r="G64" i="2"/>
  <c r="F64" i="2"/>
  <c r="D64" i="2"/>
  <c r="C64" i="2"/>
  <c r="H63" i="2"/>
  <c r="E63" i="2"/>
  <c r="E62" i="2"/>
  <c r="H62" i="2" s="1"/>
  <c r="H61" i="2"/>
  <c r="E61" i="2"/>
  <c r="E60" i="2"/>
  <c r="H60" i="2" s="1"/>
  <c r="H59" i="2"/>
  <c r="E59" i="2"/>
  <c r="E58" i="2"/>
  <c r="H58" i="2" s="1"/>
  <c r="H57" i="2"/>
  <c r="E57" i="2"/>
  <c r="E56" i="2"/>
  <c r="H56" i="2" s="1"/>
  <c r="H55" i="2"/>
  <c r="E55" i="2"/>
  <c r="E54" i="2"/>
  <c r="H54" i="2" s="1"/>
  <c r="H53" i="2"/>
  <c r="E53" i="2"/>
  <c r="E64" i="2" s="1"/>
  <c r="H64" i="2" s="1"/>
  <c r="F52" i="2"/>
  <c r="D52" i="2"/>
  <c r="C52" i="2"/>
  <c r="H51" i="2"/>
  <c r="E51" i="2"/>
  <c r="G50" i="2"/>
  <c r="E50" i="2"/>
  <c r="H50" i="2" s="1"/>
  <c r="H49" i="2"/>
  <c r="E49" i="2"/>
  <c r="G48" i="2"/>
  <c r="G52" i="2" s="1"/>
  <c r="E48" i="2"/>
  <c r="E52" i="2" s="1"/>
  <c r="H52" i="2" s="1"/>
  <c r="F43" i="2"/>
  <c r="D43" i="2"/>
  <c r="C43" i="2"/>
  <c r="H42" i="2"/>
  <c r="E42" i="2"/>
  <c r="E41" i="2"/>
  <c r="H41" i="2" s="1"/>
  <c r="H40" i="2"/>
  <c r="E40" i="2"/>
  <c r="E39" i="2"/>
  <c r="H39" i="2" s="1"/>
  <c r="H38" i="2"/>
  <c r="E38" i="2"/>
  <c r="E37" i="2"/>
  <c r="H37" i="2" s="1"/>
  <c r="H36" i="2"/>
  <c r="E36" i="2"/>
  <c r="E35" i="2"/>
  <c r="H35" i="2" s="1"/>
  <c r="H34" i="2"/>
  <c r="E34" i="2"/>
  <c r="G33" i="2"/>
  <c r="G43" i="2" s="1"/>
  <c r="E33" i="2"/>
  <c r="H33" i="2" s="1"/>
  <c r="H32" i="2"/>
  <c r="E32" i="2"/>
  <c r="E31" i="2"/>
  <c r="H31" i="2" s="1"/>
  <c r="H30" i="2"/>
  <c r="E30" i="2"/>
  <c r="E29" i="2"/>
  <c r="H29" i="2" s="1"/>
  <c r="H28" i="2"/>
  <c r="E28" i="2"/>
  <c r="E27" i="2"/>
  <c r="H27" i="2" s="1"/>
  <c r="H26" i="2"/>
  <c r="E26" i="2"/>
  <c r="E25" i="2"/>
  <c r="E43" i="2" s="1"/>
  <c r="H43" i="2" s="1"/>
  <c r="F24" i="2"/>
  <c r="D24" i="2"/>
  <c r="C24" i="2"/>
  <c r="E23" i="2"/>
  <c r="H23" i="2" s="1"/>
  <c r="H22" i="2"/>
  <c r="G22" i="2"/>
  <c r="E22" i="2"/>
  <c r="H21" i="2"/>
  <c r="E21" i="2"/>
  <c r="G20" i="2"/>
  <c r="E20" i="2"/>
  <c r="H20" i="2" s="1"/>
  <c r="H19" i="2"/>
  <c r="E19" i="2"/>
  <c r="G18" i="2"/>
  <c r="E18" i="2"/>
  <c r="H18" i="2" s="1"/>
  <c r="G17" i="2"/>
  <c r="E17" i="2"/>
  <c r="H17" i="2" s="1"/>
  <c r="H16" i="2"/>
  <c r="G16" i="2"/>
  <c r="E16" i="2"/>
  <c r="H15" i="2"/>
  <c r="G15" i="2"/>
  <c r="E15" i="2"/>
  <c r="E14" i="2"/>
  <c r="H14" i="2" s="1"/>
  <c r="H13" i="2"/>
  <c r="E13" i="2"/>
  <c r="G12" i="2"/>
  <c r="E12" i="2"/>
  <c r="H12" i="2" s="1"/>
  <c r="E11" i="2"/>
  <c r="H11" i="2" s="1"/>
  <c r="H10" i="2"/>
  <c r="E10" i="2"/>
  <c r="G9" i="2"/>
  <c r="G24" i="2" s="1"/>
  <c r="E9" i="2"/>
  <c r="E24" i="2" s="1"/>
  <c r="F99" i="1"/>
  <c r="C99" i="1"/>
  <c r="G98" i="1"/>
  <c r="F98" i="1"/>
  <c r="D98" i="1"/>
  <c r="D99" i="1" s="1"/>
  <c r="C98" i="1"/>
  <c r="E97" i="1"/>
  <c r="H97" i="1" s="1"/>
  <c r="G96" i="1"/>
  <c r="F96" i="1"/>
  <c r="D96" i="1"/>
  <c r="C96" i="1"/>
  <c r="E95" i="1"/>
  <c r="H95" i="1" s="1"/>
  <c r="E94" i="1"/>
  <c r="H94" i="1" s="1"/>
  <c r="E93" i="1"/>
  <c r="H93" i="1" s="1"/>
  <c r="E92" i="1"/>
  <c r="H92" i="1" s="1"/>
  <c r="E91" i="1"/>
  <c r="H91" i="1" s="1"/>
  <c r="D85" i="1"/>
  <c r="G84" i="1"/>
  <c r="F84" i="1"/>
  <c r="D84" i="1"/>
  <c r="C84" i="1"/>
  <c r="E83" i="1"/>
  <c r="E84" i="1" s="1"/>
  <c r="H84" i="1" s="1"/>
  <c r="G82" i="1"/>
  <c r="G85" i="1" s="1"/>
  <c r="F82" i="1"/>
  <c r="F85" i="1" s="1"/>
  <c r="D82" i="1"/>
  <c r="C82" i="1"/>
  <c r="C85" i="1" s="1"/>
  <c r="E81" i="1"/>
  <c r="H81" i="1" s="1"/>
  <c r="E80" i="1"/>
  <c r="E82" i="1" s="1"/>
  <c r="D79" i="1"/>
  <c r="G78" i="1"/>
  <c r="F78" i="1"/>
  <c r="F79" i="1" s="1"/>
  <c r="D78" i="1"/>
  <c r="C78" i="1"/>
  <c r="C79" i="1" s="1"/>
  <c r="E77" i="1"/>
  <c r="H77" i="1" s="1"/>
  <c r="E76" i="1"/>
  <c r="H76" i="1" s="1"/>
  <c r="E75" i="1"/>
  <c r="E78" i="1" s="1"/>
  <c r="G74" i="1"/>
  <c r="G79" i="1" s="1"/>
  <c r="F74" i="1"/>
  <c r="D74" i="1"/>
  <c r="C74" i="1"/>
  <c r="E73" i="1"/>
  <c r="E74" i="1" s="1"/>
  <c r="H74" i="1" s="1"/>
  <c r="G71" i="1"/>
  <c r="F71" i="1"/>
  <c r="D71" i="1"/>
  <c r="D72" i="1" s="1"/>
  <c r="C71" i="1"/>
  <c r="E70" i="1"/>
  <c r="H70" i="1" s="1"/>
  <c r="E69" i="1"/>
  <c r="H69" i="1" s="1"/>
  <c r="G68" i="1"/>
  <c r="G72" i="1" s="1"/>
  <c r="F68" i="1"/>
  <c r="F72" i="1" s="1"/>
  <c r="D68" i="1"/>
  <c r="C68" i="1"/>
  <c r="E67" i="1"/>
  <c r="H67" i="1" s="1"/>
  <c r="E66" i="1"/>
  <c r="H66" i="1" s="1"/>
  <c r="E65" i="1"/>
  <c r="E68" i="1" s="1"/>
  <c r="H68" i="1" s="1"/>
  <c r="G64" i="1"/>
  <c r="F64" i="1"/>
  <c r="D64" i="1"/>
  <c r="C64" i="1"/>
  <c r="E63" i="1"/>
  <c r="H63" i="1" s="1"/>
  <c r="E62" i="1"/>
  <c r="H62" i="1" s="1"/>
  <c r="E61" i="1"/>
  <c r="H61" i="1" s="1"/>
  <c r="E60" i="1"/>
  <c r="H60" i="1" s="1"/>
  <c r="E59" i="1"/>
  <c r="H59" i="1" s="1"/>
  <c r="E58" i="1"/>
  <c r="H58" i="1" s="1"/>
  <c r="E57" i="1"/>
  <c r="H57" i="1" s="1"/>
  <c r="E56" i="1"/>
  <c r="H56" i="1" s="1"/>
  <c r="E55" i="1"/>
  <c r="H55" i="1" s="1"/>
  <c r="E54" i="1"/>
  <c r="H54" i="1" s="1"/>
  <c r="E53" i="1"/>
  <c r="E64" i="1" s="1"/>
  <c r="H64" i="1" s="1"/>
  <c r="F52" i="1"/>
  <c r="D52" i="1"/>
  <c r="C52" i="1"/>
  <c r="C72" i="1" s="1"/>
  <c r="E51" i="1"/>
  <c r="H51" i="1" s="1"/>
  <c r="G50" i="1"/>
  <c r="G52" i="1" s="1"/>
  <c r="E50" i="1"/>
  <c r="H50" i="1" s="1"/>
  <c r="H49" i="1"/>
  <c r="E49" i="1"/>
  <c r="H48" i="1"/>
  <c r="G48" i="1"/>
  <c r="E48" i="1"/>
  <c r="E52" i="1" s="1"/>
  <c r="H52" i="1" s="1"/>
  <c r="G43" i="1"/>
  <c r="F43" i="1"/>
  <c r="D43" i="1"/>
  <c r="C43" i="1"/>
  <c r="E42" i="1"/>
  <c r="H42" i="1" s="1"/>
  <c r="E41" i="1"/>
  <c r="H41" i="1" s="1"/>
  <c r="E40" i="1"/>
  <c r="H40" i="1" s="1"/>
  <c r="E39" i="1"/>
  <c r="H39" i="1" s="1"/>
  <c r="E38" i="1"/>
  <c r="H38" i="1" s="1"/>
  <c r="E37" i="1"/>
  <c r="H37" i="1" s="1"/>
  <c r="E36" i="1"/>
  <c r="H36" i="1" s="1"/>
  <c r="E35" i="1"/>
  <c r="H35" i="1" s="1"/>
  <c r="E34" i="1"/>
  <c r="H34" i="1" s="1"/>
  <c r="E33" i="1"/>
  <c r="H33" i="1" s="1"/>
  <c r="E32" i="1"/>
  <c r="H32" i="1" s="1"/>
  <c r="E31" i="1"/>
  <c r="H31" i="1" s="1"/>
  <c r="E30" i="1"/>
  <c r="H30" i="1" s="1"/>
  <c r="E29" i="1"/>
  <c r="H29" i="1" s="1"/>
  <c r="E28" i="1"/>
  <c r="H28" i="1" s="1"/>
  <c r="E27" i="1"/>
  <c r="H27" i="1" s="1"/>
  <c r="E26" i="1"/>
  <c r="H26" i="1" s="1"/>
  <c r="E25" i="1"/>
  <c r="E43" i="1" s="1"/>
  <c r="H43" i="1" s="1"/>
  <c r="F24" i="1"/>
  <c r="D24" i="1"/>
  <c r="C24" i="1"/>
  <c r="E23" i="1"/>
  <c r="H23" i="1" s="1"/>
  <c r="G22" i="1"/>
  <c r="H22" i="1" s="1"/>
  <c r="E22" i="1"/>
  <c r="H21" i="1"/>
  <c r="E21" i="1"/>
  <c r="G20" i="1"/>
  <c r="E20" i="1"/>
  <c r="H20" i="1" s="1"/>
  <c r="E19" i="1"/>
  <c r="H19" i="1" s="1"/>
  <c r="G18" i="1"/>
  <c r="E18" i="1"/>
  <c r="H18" i="1" s="1"/>
  <c r="G17" i="1"/>
  <c r="E17" i="1"/>
  <c r="H17" i="1" s="1"/>
  <c r="G16" i="1"/>
  <c r="H16" i="1" s="1"/>
  <c r="E16" i="1"/>
  <c r="H15" i="1"/>
  <c r="G15" i="1"/>
  <c r="E15" i="1"/>
  <c r="E14" i="1"/>
  <c r="H14" i="1" s="1"/>
  <c r="E13" i="1"/>
  <c r="H13" i="1" s="1"/>
  <c r="G12" i="1"/>
  <c r="G24" i="1" s="1"/>
  <c r="G100" i="1" s="1"/>
  <c r="E12" i="1"/>
  <c r="H12" i="1" s="1"/>
  <c r="H11" i="1"/>
  <c r="E11" i="1"/>
  <c r="H10" i="1"/>
  <c r="E10" i="1"/>
  <c r="G9" i="1"/>
  <c r="E9" i="1"/>
  <c r="E24" i="1" s="1"/>
  <c r="H100" i="5" l="1"/>
  <c r="H101" i="5" s="1"/>
  <c r="E101" i="5"/>
  <c r="D102" i="5"/>
  <c r="C102" i="5"/>
  <c r="F102" i="5"/>
  <c r="H83" i="5"/>
  <c r="H86" i="5" s="1"/>
  <c r="E86" i="5"/>
  <c r="E79" i="5"/>
  <c r="H12" i="5"/>
  <c r="H25" i="5"/>
  <c r="H49" i="5"/>
  <c r="H53" i="5"/>
  <c r="E72" i="5"/>
  <c r="H82" i="5"/>
  <c r="H84" i="5"/>
  <c r="H93" i="5"/>
  <c r="H99" i="5"/>
  <c r="G24" i="5"/>
  <c r="G102" i="5" s="1"/>
  <c r="E69" i="5"/>
  <c r="H69" i="5" s="1"/>
  <c r="H83" i="4"/>
  <c r="H86" i="4" s="1"/>
  <c r="E86" i="4"/>
  <c r="F101" i="4"/>
  <c r="H72" i="4"/>
  <c r="H79" i="4"/>
  <c r="E80" i="4"/>
  <c r="H80" i="4" s="1"/>
  <c r="C101" i="4"/>
  <c r="E100" i="4"/>
  <c r="H99" i="4"/>
  <c r="H100" i="4" s="1"/>
  <c r="G73" i="4"/>
  <c r="G101" i="4" s="1"/>
  <c r="H75" i="4"/>
  <c r="E52" i="4"/>
  <c r="H52" i="4" s="1"/>
  <c r="H34" i="4"/>
  <c r="H53" i="4"/>
  <c r="H71" i="4"/>
  <c r="H9" i="4"/>
  <c r="H24" i="4" s="1"/>
  <c r="F100" i="3"/>
  <c r="H71" i="3"/>
  <c r="E72" i="3"/>
  <c r="H72" i="3" s="1"/>
  <c r="H78" i="3"/>
  <c r="E79" i="3"/>
  <c r="H79" i="3" s="1"/>
  <c r="H82" i="3"/>
  <c r="H85" i="3" s="1"/>
  <c r="E85" i="3"/>
  <c r="E99" i="3"/>
  <c r="H98" i="3"/>
  <c r="H99" i="3" s="1"/>
  <c r="H74" i="3"/>
  <c r="H9" i="3"/>
  <c r="H24" i="3" s="1"/>
  <c r="H70" i="3"/>
  <c r="E72" i="2"/>
  <c r="H72" i="2" s="1"/>
  <c r="H71" i="2"/>
  <c r="C100" i="2"/>
  <c r="F100" i="2"/>
  <c r="H82" i="2"/>
  <c r="H85" i="2" s="1"/>
  <c r="E85" i="2"/>
  <c r="G100" i="2"/>
  <c r="H78" i="2"/>
  <c r="E79" i="2"/>
  <c r="H79" i="2" s="1"/>
  <c r="H25" i="2"/>
  <c r="H48" i="2"/>
  <c r="E96" i="2"/>
  <c r="H96" i="2" s="1"/>
  <c r="E98" i="2"/>
  <c r="H9" i="2"/>
  <c r="H24" i="2" s="1"/>
  <c r="H80" i="2"/>
  <c r="H78" i="1"/>
  <c r="E79" i="1"/>
  <c r="H79" i="1" s="1"/>
  <c r="H82" i="1"/>
  <c r="H85" i="1" s="1"/>
  <c r="E85" i="1"/>
  <c r="C100" i="1"/>
  <c r="F100" i="1"/>
  <c r="D100" i="1"/>
  <c r="H9" i="1"/>
  <c r="H24" i="1" s="1"/>
  <c r="H53" i="1"/>
  <c r="H65" i="1"/>
  <c r="H73" i="1"/>
  <c r="H75" i="1"/>
  <c r="H83" i="1"/>
  <c r="E71" i="1"/>
  <c r="E96" i="1"/>
  <c r="H96" i="1" s="1"/>
  <c r="E98" i="1"/>
  <c r="H25" i="1"/>
  <c r="H80" i="1"/>
  <c r="E73" i="5" l="1"/>
  <c r="H72" i="5"/>
  <c r="H79" i="5"/>
  <c r="E80" i="5"/>
  <c r="H80" i="5" s="1"/>
  <c r="H24" i="5"/>
  <c r="E73" i="4"/>
  <c r="E100" i="3"/>
  <c r="H100" i="3" s="1"/>
  <c r="E99" i="2"/>
  <c r="H98" i="2"/>
  <c r="H99" i="2" s="1"/>
  <c r="E100" i="2"/>
  <c r="H100" i="2" s="1"/>
  <c r="E72" i="1"/>
  <c r="H71" i="1"/>
  <c r="E99" i="1"/>
  <c r="H98" i="1"/>
  <c r="H99" i="1" s="1"/>
  <c r="H73" i="5" l="1"/>
  <c r="H102" i="5" s="1"/>
  <c r="E102" i="5"/>
  <c r="H73" i="4"/>
  <c r="E101" i="4"/>
  <c r="H101" i="4" s="1"/>
  <c r="H72" i="1"/>
  <c r="E100" i="1"/>
  <c r="H100" i="1" s="1"/>
</calcChain>
</file>

<file path=xl/sharedStrings.xml><?xml version="1.0" encoding="utf-8"?>
<sst xmlns="http://schemas.openxmlformats.org/spreadsheetml/2006/main" count="675" uniqueCount="87">
  <si>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</si>
  <si>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</si>
  <si>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</si>
  <si>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</si>
  <si>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AGOSTO DE 2018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</si>
  <si>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</si>
  <si>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</si>
  <si>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</si>
  <si>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</si>
  <si>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</si>
  <si>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</si>
  <si>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</si>
  <si>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</si>
  <si>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</si>
  <si>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</si>
  <si>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</si>
  <si>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</si>
  <si>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</si>
  <si>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</si>
  <si>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</si>
  <si>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</si>
  <si>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</si>
  <si>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</si>
  <si>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Al Personal de Servicios Eventuales</t>
  </si>
  <si>
    <t>Prestaciones Sociales al Personal</t>
  </si>
  <si>
    <t>Remuneraciones Diversas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</si>
  <si>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</si>
  <si>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</si>
  <si>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</si>
  <si>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</si>
  <si>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</si>
  <si>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</si>
  <si>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</si>
  <si>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</si>
  <si>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</si>
  <si>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</si>
  <si>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</si>
  <si>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</si>
  <si>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</si>
  <si>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</si>
  <si>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</si>
  <si>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</si>
  <si>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</si>
  <si>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</si>
  <si>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</si>
  <si>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</si>
  <si>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</si>
  <si>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</si>
  <si>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</si>
  <si>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</si>
  <si>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</si>
  <si>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</si>
  <si>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</si>
  <si>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</si>
  <si>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</si>
  <si>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limpiezas y fumigaciones</t>
  </si>
  <si>
    <t>Servicios de Lavanderías y Planchados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</si>
  <si>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</si>
  <si>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</si>
  <si>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</si>
  <si>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</si>
  <si>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</si>
  <si>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</si>
  <si>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</si>
  <si>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</si>
  <si>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</si>
  <si>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</si>
  <si>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</si>
  <si>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</si>
  <si>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</si>
  <si>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</si>
  <si>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</si>
  <si>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</si>
  <si>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</si>
  <si>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</si>
  <si>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</si>
  <si>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</si>
  <si>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</si>
  <si>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Derechos de Propieda Intelectual</t>
  </si>
  <si>
    <t>TOTAL</t>
  </si>
  <si>
    <t>AL 30 DE SEPTIEMBRE DE 2018</t>
  </si>
  <si>
    <t>AL 31 DE OCTUBRE DE 2018</t>
  </si>
  <si>
    <t>AL 30 DE NOVIEMBRE DE 2018</t>
  </si>
  <si>
    <t>Servicios de Vigilancia</t>
  </si>
  <si>
    <t>AL 31 DE DICIEMBRE DE 2018</t>
  </si>
  <si>
    <t>Vehiculos de Transporte</t>
  </si>
  <si>
    <t>AL 31 DE JULIO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</si>
</sst>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&quot;$&quot;#,##0.00;[Red]&quot;$&quot;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sz val="11"/>
      <name val="Lucida Bright"/>
      <family val="1"/>
    </font>
    <font>
      <sz val="11"/>
      <name val="Lucida Bright"/>
      <family val="1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C66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3">
    <xf numFmtId="0" fontId="0" fillId="0" borderId="0" xfId="0"/>
    <xf numFmtId="4" fontId="0" fillId="0" borderId="0" xfId="0" applyNumberFormat="1"/>
    <xf numFmtId="0" fontId="2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4" fontId="4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49" fontId="6" fillId="0" borderId="1" xfId="0" applyNumberFormat="1" applyFont="1" applyFill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4" fontId="6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7" fillId="0" borderId="0" xfId="0" applyFont="1"/>
    <xf numFmtId="0" fontId="8" fillId="0" borderId="5" xfId="0" applyFont="1" applyBorder="1"/>
    <xf numFmtId="0" fontId="8" fillId="0" borderId="6" xfId="0" applyFont="1" applyBorder="1"/>
    <xf numFmtId="44" fontId="9" fillId="0" borderId="6" xfId="2" applyFont="1" applyBorder="1"/>
    <xf numFmtId="44" fontId="9" fillId="0" borderId="7" xfId="2" applyFont="1" applyBorder="1"/>
    <xf numFmtId="0" fontId="8" fillId="0" borderId="8" xfId="0" applyFont="1" applyBorder="1"/>
    <xf numFmtId="0" fontId="8" fillId="0" borderId="9" xfId="0" applyFont="1" applyBorder="1"/>
    <xf numFmtId="44" fontId="9" fillId="0" borderId="9" xfId="2" applyFont="1" applyBorder="1"/>
    <xf numFmtId="44" fontId="9" fillId="0" borderId="9" xfId="2" applyFont="1" applyFill="1" applyBorder="1"/>
    <xf numFmtId="44" fontId="9" fillId="0" borderId="10" xfId="2" applyFont="1" applyBorder="1"/>
    <xf numFmtId="49" fontId="8" fillId="0" borderId="8" xfId="0" applyNumberFormat="1" applyFont="1" applyFill="1" applyBorder="1" applyAlignment="1">
      <alignment horizontal="center"/>
    </xf>
    <xf numFmtId="0" fontId="6" fillId="0" borderId="9" xfId="0" applyFont="1" applyFill="1" applyBorder="1"/>
    <xf numFmtId="164" fontId="7" fillId="0" borderId="9" xfId="2" applyNumberFormat="1" applyFont="1" applyFill="1" applyBorder="1" applyAlignment="1">
      <alignment horizontal="center"/>
    </xf>
    <xf numFmtId="44" fontId="7" fillId="0" borderId="9" xfId="2" applyFont="1" applyFill="1" applyBorder="1"/>
    <xf numFmtId="44" fontId="7" fillId="2" borderId="9" xfId="2" applyFont="1" applyFill="1" applyBorder="1"/>
    <xf numFmtId="44" fontId="7" fillId="3" borderId="9" xfId="2" applyFont="1" applyFill="1" applyBorder="1"/>
    <xf numFmtId="44" fontId="7" fillId="4" borderId="10" xfId="2" applyFont="1" applyFill="1" applyBorder="1"/>
    <xf numFmtId="166" fontId="7" fillId="5" borderId="7" xfId="1" applyNumberFormat="1" applyFont="1" applyFill="1" applyBorder="1"/>
    <xf numFmtId="0" fontId="8" fillId="0" borderId="11" xfId="0" applyFont="1" applyBorder="1"/>
    <xf numFmtId="0" fontId="8" fillId="0" borderId="12" xfId="0" applyFont="1" applyBorder="1"/>
    <xf numFmtId="44" fontId="9" fillId="0" borderId="12" xfId="2" applyFont="1" applyBorder="1"/>
    <xf numFmtId="44" fontId="9" fillId="0" borderId="13" xfId="2" applyFont="1" applyBorder="1"/>
    <xf numFmtId="0" fontId="8" fillId="0" borderId="1" xfId="0" applyFont="1" applyFill="1" applyBorder="1"/>
    <xf numFmtId="0" fontId="6" fillId="0" borderId="2" xfId="0" applyFont="1" applyFill="1" applyBorder="1"/>
    <xf numFmtId="44" fontId="7" fillId="0" borderId="2" xfId="2" applyFont="1" applyFill="1" applyBorder="1"/>
    <xf numFmtId="44" fontId="7" fillId="0" borderId="4" xfId="2" applyFont="1" applyBorder="1"/>
    <xf numFmtId="0" fontId="8" fillId="0" borderId="0" xfId="0" applyFont="1" applyFill="1" applyBorder="1"/>
    <xf numFmtId="0" fontId="6" fillId="0" borderId="0" xfId="0" applyFont="1" applyFill="1" applyBorder="1"/>
    <xf numFmtId="4" fontId="7" fillId="0" borderId="0" xfId="2" applyNumberFormat="1" applyFont="1" applyFill="1" applyBorder="1"/>
    <xf numFmtId="44" fontId="7" fillId="0" borderId="0" xfId="2" applyFont="1" applyFill="1" applyBorder="1"/>
    <xf numFmtId="44" fontId="7" fillId="0" borderId="0" xfId="2" applyFont="1" applyBorder="1"/>
    <xf numFmtId="4" fontId="6" fillId="0" borderId="2" xfId="2" applyNumberFormat="1" applyFont="1" applyFill="1" applyBorder="1" applyAlignment="1">
      <alignment horizontal="center"/>
    </xf>
    <xf numFmtId="44" fontId="6" fillId="2" borderId="1" xfId="2" applyFont="1" applyFill="1" applyBorder="1" applyAlignment="1">
      <alignment horizontal="center"/>
    </xf>
    <xf numFmtId="44" fontId="6" fillId="3" borderId="2" xfId="2" applyFont="1" applyFill="1" applyBorder="1" applyAlignment="1">
      <alignment horizontal="center"/>
    </xf>
    <xf numFmtId="44" fontId="6" fillId="4" borderId="3" xfId="2" applyFont="1" applyFill="1" applyBorder="1" applyAlignment="1">
      <alignment horizontal="center"/>
    </xf>
    <xf numFmtId="44" fontId="6" fillId="5" borderId="4" xfId="2" applyFont="1" applyFill="1" applyBorder="1" applyAlignment="1">
      <alignment horizontal="center"/>
    </xf>
    <xf numFmtId="0" fontId="8" fillId="0" borderId="14" xfId="0" applyFont="1" applyBorder="1"/>
    <xf numFmtId="0" fontId="8" fillId="0" borderId="15" xfId="0" applyFont="1" applyBorder="1"/>
    <xf numFmtId="44" fontId="9" fillId="0" borderId="15" xfId="2" applyFont="1" applyBorder="1"/>
    <xf numFmtId="44" fontId="9" fillId="0" borderId="16" xfId="2" applyFont="1" applyBorder="1"/>
    <xf numFmtId="44" fontId="9" fillId="0" borderId="17" xfId="2" applyFont="1" applyBorder="1"/>
    <xf numFmtId="0" fontId="8" fillId="0" borderId="8" xfId="0" applyFont="1" applyFill="1" applyBorder="1"/>
    <xf numFmtId="44" fontId="7" fillId="0" borderId="17" xfId="2" applyFont="1" applyBorder="1"/>
    <xf numFmtId="0" fontId="6" fillId="0" borderId="8" xfId="0" applyFont="1" applyFill="1" applyBorder="1"/>
    <xf numFmtId="44" fontId="7" fillId="4" borderId="9" xfId="2" applyFont="1" applyFill="1" applyBorder="1"/>
    <xf numFmtId="44" fontId="7" fillId="5" borderId="17" xfId="2" applyFont="1" applyFill="1" applyBorder="1"/>
    <xf numFmtId="165" fontId="0" fillId="0" borderId="0" xfId="0" applyNumberFormat="1"/>
    <xf numFmtId="165" fontId="0" fillId="0" borderId="0" xfId="0" applyNumberFormat="1" applyFill="1"/>
    <xf numFmtId="0" fontId="8" fillId="0" borderId="11" xfId="0" applyFont="1" applyFill="1" applyBorder="1"/>
    <xf numFmtId="0" fontId="6" fillId="0" borderId="12" xfId="0" applyFont="1" applyFill="1" applyBorder="1"/>
    <xf numFmtId="44" fontId="7" fillId="0" borderId="12" xfId="2" applyFont="1" applyFill="1" applyBorder="1"/>
    <xf numFmtId="44" fontId="9" fillId="0" borderId="18" xfId="2" applyFont="1" applyBorder="1"/>
    <xf numFmtId="0" fontId="6" fillId="0" borderId="19" xfId="0" applyFont="1" applyFill="1" applyBorder="1"/>
    <xf numFmtId="0" fontId="6" fillId="0" borderId="20" xfId="0" applyFont="1" applyFill="1" applyBorder="1"/>
    <xf numFmtId="44" fontId="7" fillId="0" borderId="20" xfId="2" applyFont="1" applyFill="1" applyBorder="1"/>
    <xf numFmtId="44" fontId="7" fillId="2" borderId="20" xfId="2" applyFont="1" applyFill="1" applyBorder="1"/>
    <xf numFmtId="44" fontId="7" fillId="3" borderId="20" xfId="2" applyFont="1" applyFill="1" applyBorder="1"/>
    <xf numFmtId="44" fontId="7" fillId="4" borderId="20" xfId="2" applyFont="1" applyFill="1" applyBorder="1"/>
    <xf numFmtId="44" fontId="7" fillId="5" borderId="21" xfId="2" applyFont="1" applyFill="1" applyBorder="1"/>
    <xf numFmtId="0" fontId="8" fillId="0" borderId="14" xfId="0" applyFont="1" applyFill="1" applyBorder="1"/>
    <xf numFmtId="0" fontId="8" fillId="0" borderId="15" xfId="0" applyFont="1" applyFill="1" applyBorder="1"/>
    <xf numFmtId="44" fontId="9" fillId="0" borderId="15" xfId="2" applyFont="1" applyFill="1" applyBorder="1"/>
    <xf numFmtId="165" fontId="9" fillId="0" borderId="0" xfId="0" applyNumberFormat="1" applyFont="1" applyFill="1"/>
    <xf numFmtId="0" fontId="8" fillId="0" borderId="9" xfId="0" applyFont="1" applyFill="1" applyBorder="1"/>
    <xf numFmtId="0" fontId="8" fillId="0" borderId="22" xfId="0" applyFont="1" applyFill="1" applyBorder="1"/>
    <xf numFmtId="0" fontId="6" fillId="0" borderId="23" xfId="0" applyFont="1" applyFill="1" applyBorder="1"/>
    <xf numFmtId="44" fontId="7" fillId="0" borderId="23" xfId="2" applyFont="1" applyFill="1" applyBorder="1"/>
    <xf numFmtId="44" fontId="9" fillId="0" borderId="23" xfId="2" applyFont="1" applyFill="1" applyBorder="1"/>
    <xf numFmtId="44" fontId="9" fillId="0" borderId="24" xfId="2" applyFont="1" applyBorder="1"/>
    <xf numFmtId="0" fontId="6" fillId="0" borderId="25" xfId="0" applyFont="1" applyFill="1" applyBorder="1"/>
    <xf numFmtId="0" fontId="6" fillId="0" borderId="26" xfId="0" applyFont="1" applyFill="1" applyBorder="1"/>
    <xf numFmtId="44" fontId="7" fillId="0" borderId="26" xfId="2" applyFont="1" applyFill="1" applyBorder="1"/>
    <xf numFmtId="44" fontId="7" fillId="2" borderId="26" xfId="2" applyFont="1" applyFill="1" applyBorder="1"/>
    <xf numFmtId="44" fontId="7" fillId="3" borderId="26" xfId="2" applyFont="1" applyFill="1" applyBorder="1"/>
    <xf numFmtId="44" fontId="7" fillId="4" borderId="26" xfId="2" applyFont="1" applyFill="1" applyBorder="1"/>
    <xf numFmtId="44" fontId="7" fillId="5" borderId="27" xfId="2" applyFont="1" applyFill="1" applyBorder="1"/>
    <xf numFmtId="0" fontId="6" fillId="0" borderId="14" xfId="0" applyFont="1" applyFill="1" applyBorder="1"/>
    <xf numFmtId="0" fontId="6" fillId="0" borderId="15" xfId="0" applyFont="1" applyFill="1" applyBorder="1"/>
    <xf numFmtId="44" fontId="7" fillId="0" borderId="15" xfId="2" applyFont="1" applyFill="1" applyBorder="1" applyProtection="1"/>
    <xf numFmtId="44" fontId="7" fillId="0" borderId="15" xfId="2" applyFont="1" applyFill="1" applyBorder="1"/>
    <xf numFmtId="44" fontId="7" fillId="2" borderId="15" xfId="2" applyFont="1" applyFill="1" applyBorder="1"/>
    <xf numFmtId="44" fontId="7" fillId="3" borderId="15" xfId="2" applyFont="1" applyFill="1" applyBorder="1"/>
    <xf numFmtId="44" fontId="7" fillId="4" borderId="15" xfId="2" applyFont="1" applyFill="1" applyBorder="1"/>
    <xf numFmtId="44" fontId="7" fillId="5" borderId="16" xfId="2" applyFont="1" applyFill="1" applyBorder="1"/>
    <xf numFmtId="4" fontId="1" fillId="0" borderId="0" xfId="1" applyNumberFormat="1"/>
    <xf numFmtId="43" fontId="1" fillId="0" borderId="0" xfId="1"/>
    <xf numFmtId="0" fontId="6" fillId="0" borderId="1" xfId="0" applyFont="1" applyFill="1" applyBorder="1"/>
    <xf numFmtId="44" fontId="7" fillId="0" borderId="2" xfId="2" applyFont="1" applyFill="1" applyBorder="1" applyProtection="1"/>
    <xf numFmtId="44" fontId="7" fillId="2" borderId="2" xfId="2" applyFont="1" applyFill="1" applyBorder="1"/>
    <xf numFmtId="44" fontId="7" fillId="3" borderId="2" xfId="2" applyFont="1" applyFill="1" applyBorder="1"/>
    <xf numFmtId="44" fontId="7" fillId="4" borderId="2" xfId="2" applyFont="1" applyFill="1" applyBorder="1"/>
    <xf numFmtId="44" fontId="7" fillId="5" borderId="4" xfId="2" applyFont="1" applyFill="1" applyBorder="1"/>
    <xf numFmtId="165" fontId="0" fillId="0" borderId="0" xfId="0" applyNumberFormat="1" applyBorder="1"/>
    <xf numFmtId="44" fontId="7" fillId="5" borderId="7" xfId="2" applyFont="1" applyFill="1" applyBorder="1" applyAlignment="1">
      <alignment horizontal="center"/>
    </xf>
    <xf numFmtId="44" fontId="7" fillId="5" borderId="2" xfId="2" applyFont="1" applyFill="1" applyBorder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0</xdr:rowOff>
    </xdr:from>
    <xdr:to>
      <xdr:col>0</xdr:col>
      <xdr:colOff>885825</xdr:colOff>
      <xdr:row>3</xdr:row>
      <xdr:rowOff>161925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0"/>
          <a:ext cx="79057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"/>
  <sheetViews>
    <sheetView workbookViewId="0">
      <selection sqref="A1:I102"/>
    </sheetView>
  </sheetViews>
  <sheetFormatPr baseColWidth="10" defaultRowHeight="15" x14ac:dyDescent="0.25"/>
  <cols>
    <col min="1" max="1" width="13.5703125" customWidth="1"/>
    <col min="2" max="2" width="36.5703125" customWidth="1"/>
    <col min="3" max="3" width="16.140625" customWidth="1"/>
    <col min="4" max="4" width="15.85546875" customWidth="1"/>
    <col min="5" max="5" width="14.5703125" customWidth="1"/>
    <col min="6" max="6" width="15.85546875" customWidth="1"/>
    <col min="7" max="7" width="15" customWidth="1"/>
    <col min="8" max="8" width="16.7109375" customWidth="1"/>
  </cols>
  <sheetData>
    <row r="1" spans="1:9" x14ac:dyDescent="0.25">
      <c r="C1" s="1"/>
    </row>
    <row r="2" spans="1:9" ht="15.75" x14ac:dyDescent="0.25">
      <c r="A2" s="2"/>
      <c r="B2" s="110" t="s">
        <v>0</v>
      </c>
      <c r="C2" s="110"/>
      <c r="D2" s="110"/>
      <c r="E2" s="110"/>
      <c r="F2" s="110"/>
      <c r="G2" s="110"/>
      <c r="H2" s="110"/>
      <c r="I2" s="110"/>
    </row>
    <row r="3" spans="1:9" x14ac:dyDescent="0.25">
      <c r="A3" s="2"/>
      <c r="B3" s="111" t="s">
        <v>1</v>
      </c>
      <c r="C3" s="111"/>
      <c r="D3" s="111"/>
      <c r="E3" s="111"/>
      <c r="F3" s="111"/>
      <c r="G3" s="3"/>
      <c r="H3" s="2"/>
      <c r="I3" s="2"/>
    </row>
    <row r="4" spans="1:9" x14ac:dyDescent="0.25">
      <c r="A4" s="4"/>
      <c r="B4" s="111" t="s">
        <v>2</v>
      </c>
      <c r="C4" s="111"/>
      <c r="D4" s="111"/>
      <c r="E4" s="111"/>
      <c r="F4" s="111"/>
      <c r="G4" s="3"/>
      <c r="H4" s="4"/>
      <c r="I4" s="2"/>
    </row>
    <row r="5" spans="1:9" x14ac:dyDescent="0.25">
      <c r="A5" s="4"/>
      <c r="B5" s="3"/>
      <c r="C5" s="5"/>
      <c r="D5" s="3"/>
      <c r="E5" s="3"/>
      <c r="F5" s="3"/>
      <c r="G5" s="3"/>
      <c r="H5" s="4"/>
      <c r="I5" s="2"/>
    </row>
    <row r="6" spans="1:9" x14ac:dyDescent="0.25">
      <c r="A6" s="112" t="s">
        <v>3</v>
      </c>
      <c r="B6" s="112"/>
      <c r="C6" s="112"/>
      <c r="D6" s="112"/>
      <c r="E6" s="112"/>
      <c r="F6" s="112"/>
      <c r="G6" s="112"/>
      <c r="H6" s="112"/>
      <c r="I6" s="2"/>
    </row>
    <row r="7" spans="1:9" ht="15.75" thickBot="1" x14ac:dyDescent="0.3">
      <c r="A7" s="6"/>
      <c r="B7" s="112" t="s">
        <v>86</v>
      </c>
      <c r="C7" s="112"/>
      <c r="D7" s="112"/>
      <c r="E7" s="112"/>
      <c r="F7" s="112"/>
      <c r="G7" s="112"/>
      <c r="H7" s="112"/>
      <c r="I7" s="2"/>
    </row>
    <row r="8" spans="1:9" ht="15.75" thickBot="1" x14ac:dyDescent="0.3">
      <c r="A8" s="7" t="s">
        <v>5</v>
      </c>
      <c r="B8" s="8" t="s">
        <v>6</v>
      </c>
      <c r="C8" s="9" t="s">
        <v>7</v>
      </c>
      <c r="D8" s="10" t="s">
        <v>8</v>
      </c>
      <c r="E8" s="11" t="s">
        <v>9</v>
      </c>
      <c r="F8" s="12" t="s">
        <v>10</v>
      </c>
      <c r="G8" s="13" t="s">
        <v>11</v>
      </c>
      <c r="H8" s="14" t="s">
        <v>12</v>
      </c>
      <c r="I8" s="15"/>
    </row>
    <row r="9" spans="1:9" x14ac:dyDescent="0.25">
      <c r="A9" s="16">
        <v>51101</v>
      </c>
      <c r="B9" s="17" t="s">
        <v>13</v>
      </c>
      <c r="C9" s="18">
        <v>4981600</v>
      </c>
      <c r="D9" s="18">
        <v>-84599.9</v>
      </c>
      <c r="E9" s="18">
        <f>+C9+D9</f>
        <v>4897000.0999999996</v>
      </c>
      <c r="F9" s="18">
        <v>2776371.82</v>
      </c>
      <c r="G9" s="18">
        <f>91192.58-46233.86</f>
        <v>44958.720000000001</v>
      </c>
      <c r="H9" s="19">
        <f t="shared" ref="H9:H74" si="0">+E9-F9-G9</f>
        <v>2075669.5599999998</v>
      </c>
    </row>
    <row r="10" spans="1:9" x14ac:dyDescent="0.25">
      <c r="A10" s="20">
        <v>51103</v>
      </c>
      <c r="B10" s="21" t="s">
        <v>14</v>
      </c>
      <c r="C10" s="22">
        <v>181800</v>
      </c>
      <c r="D10" s="18"/>
      <c r="E10" s="18">
        <f t="shared" ref="E10:E23" si="1">+C10+D10</f>
        <v>181800</v>
      </c>
      <c r="F10" s="18"/>
      <c r="G10" s="18">
        <v>0</v>
      </c>
      <c r="H10" s="19">
        <f t="shared" si="0"/>
        <v>181800</v>
      </c>
    </row>
    <row r="11" spans="1:9" x14ac:dyDescent="0.25">
      <c r="A11" s="20">
        <v>51107</v>
      </c>
      <c r="B11" s="21" t="s">
        <v>15</v>
      </c>
      <c r="C11" s="22">
        <v>0</v>
      </c>
      <c r="D11" s="22">
        <v>115919.88</v>
      </c>
      <c r="E11" s="18">
        <f t="shared" si="1"/>
        <v>115919.88</v>
      </c>
      <c r="F11" s="18">
        <v>114800</v>
      </c>
      <c r="G11" s="18">
        <v>1119.8800000000001</v>
      </c>
      <c r="H11" s="19">
        <f t="shared" si="0"/>
        <v>4.5474735088646412E-12</v>
      </c>
    </row>
    <row r="12" spans="1:9" x14ac:dyDescent="0.25">
      <c r="A12" s="20">
        <v>51201</v>
      </c>
      <c r="B12" s="21" t="s">
        <v>16</v>
      </c>
      <c r="C12" s="22">
        <v>1068700</v>
      </c>
      <c r="D12" s="23">
        <v>-40524.949999999997</v>
      </c>
      <c r="E12" s="18">
        <f t="shared" si="1"/>
        <v>1028175.05</v>
      </c>
      <c r="F12" s="18">
        <v>558473.91</v>
      </c>
      <c r="G12" s="18">
        <f>51479.41-27078.69</f>
        <v>24400.720000000005</v>
      </c>
      <c r="H12" s="19">
        <f t="shared" si="0"/>
        <v>445300.42</v>
      </c>
    </row>
    <row r="13" spans="1:9" x14ac:dyDescent="0.25">
      <c r="A13" s="20">
        <v>51203</v>
      </c>
      <c r="B13" s="21" t="s">
        <v>14</v>
      </c>
      <c r="C13" s="22">
        <v>30600</v>
      </c>
      <c r="D13" s="22"/>
      <c r="E13" s="18">
        <f t="shared" si="1"/>
        <v>30600</v>
      </c>
      <c r="F13" s="18"/>
      <c r="G13" s="18">
        <v>0</v>
      </c>
      <c r="H13" s="19">
        <f t="shared" si="0"/>
        <v>30600</v>
      </c>
    </row>
    <row r="14" spans="1:9" x14ac:dyDescent="0.25">
      <c r="A14" s="20">
        <v>51207</v>
      </c>
      <c r="B14" s="21" t="s">
        <v>15</v>
      </c>
      <c r="C14" s="22">
        <v>0</v>
      </c>
      <c r="D14" s="22">
        <v>18600</v>
      </c>
      <c r="E14" s="18">
        <f t="shared" si="1"/>
        <v>18600</v>
      </c>
      <c r="F14" s="18">
        <v>18600</v>
      </c>
      <c r="G14" s="18">
        <v>0</v>
      </c>
      <c r="H14" s="19">
        <f t="shared" si="0"/>
        <v>0</v>
      </c>
    </row>
    <row r="15" spans="1:9" x14ac:dyDescent="0.25">
      <c r="A15" s="20">
        <v>51401</v>
      </c>
      <c r="B15" s="21" t="s">
        <v>17</v>
      </c>
      <c r="C15" s="22">
        <v>331890</v>
      </c>
      <c r="D15" s="22">
        <v>-12555.71</v>
      </c>
      <c r="E15" s="18">
        <f t="shared" si="1"/>
        <v>319334.28999999998</v>
      </c>
      <c r="F15" s="18">
        <v>170083.42</v>
      </c>
      <c r="G15" s="18">
        <f>20373.97-9422.29</f>
        <v>10951.68</v>
      </c>
      <c r="H15" s="19">
        <f t="shared" si="0"/>
        <v>138299.18999999997</v>
      </c>
    </row>
    <row r="16" spans="1:9" x14ac:dyDescent="0.25">
      <c r="A16" s="20">
        <v>51402</v>
      </c>
      <c r="B16" s="21" t="s">
        <v>18</v>
      </c>
      <c r="C16" s="22">
        <v>57985</v>
      </c>
      <c r="D16" s="22">
        <v>-2471.6</v>
      </c>
      <c r="E16" s="18">
        <f t="shared" si="1"/>
        <v>55513.4</v>
      </c>
      <c r="F16" s="18">
        <v>29276.86</v>
      </c>
      <c r="G16" s="18">
        <f>3865.99-1797.45</f>
        <v>2068.54</v>
      </c>
      <c r="H16" s="19">
        <f t="shared" si="0"/>
        <v>24168</v>
      </c>
    </row>
    <row r="17" spans="1:8" x14ac:dyDescent="0.25">
      <c r="A17" s="20">
        <v>51501</v>
      </c>
      <c r="B17" s="21" t="s">
        <v>19</v>
      </c>
      <c r="C17" s="22">
        <v>320785</v>
      </c>
      <c r="D17" s="22">
        <v>34922.730000000003</v>
      </c>
      <c r="E17" s="18">
        <f t="shared" si="1"/>
        <v>355707.73</v>
      </c>
      <c r="F17" s="18">
        <v>188575.53</v>
      </c>
      <c r="G17" s="18">
        <f>23747.23-10984.72</f>
        <v>12762.51</v>
      </c>
      <c r="H17" s="19">
        <f t="shared" si="0"/>
        <v>154369.68999999997</v>
      </c>
    </row>
    <row r="18" spans="1:8" x14ac:dyDescent="0.25">
      <c r="A18" s="20">
        <v>51502</v>
      </c>
      <c r="B18" s="21" t="s">
        <v>20</v>
      </c>
      <c r="C18" s="22">
        <v>72140</v>
      </c>
      <c r="D18" s="22">
        <v>6863.78</v>
      </c>
      <c r="E18" s="18">
        <f t="shared" si="1"/>
        <v>79003.78</v>
      </c>
      <c r="F18" s="18">
        <v>41169.51</v>
      </c>
      <c r="G18" s="18">
        <f>6194.21-2844.52</f>
        <v>3349.69</v>
      </c>
      <c r="H18" s="19">
        <f t="shared" si="0"/>
        <v>34484.579999999994</v>
      </c>
    </row>
    <row r="19" spans="1:8" x14ac:dyDescent="0.25">
      <c r="A19" s="20">
        <v>51601</v>
      </c>
      <c r="B19" s="21" t="s">
        <v>21</v>
      </c>
      <c r="C19" s="22">
        <v>46625</v>
      </c>
      <c r="D19" s="22">
        <v>4.12</v>
      </c>
      <c r="E19" s="18">
        <f t="shared" si="1"/>
        <v>46629.120000000003</v>
      </c>
      <c r="F19" s="18">
        <v>26096.63</v>
      </c>
      <c r="G19" s="18">
        <v>1103.69</v>
      </c>
      <c r="H19" s="19">
        <f t="shared" si="0"/>
        <v>19428.800000000003</v>
      </c>
    </row>
    <row r="20" spans="1:8" x14ac:dyDescent="0.25">
      <c r="A20" s="20">
        <v>51701</v>
      </c>
      <c r="B20" s="21" t="s">
        <v>22</v>
      </c>
      <c r="C20" s="22">
        <v>54989</v>
      </c>
      <c r="D20" s="22">
        <v>-6466.49</v>
      </c>
      <c r="E20" s="18">
        <f t="shared" si="1"/>
        <v>48522.51</v>
      </c>
      <c r="F20" s="18">
        <v>47132.97</v>
      </c>
      <c r="G20" s="18">
        <f>1400.69-11.15</f>
        <v>1389.54</v>
      </c>
      <c r="H20" s="19">
        <f t="shared" si="0"/>
        <v>0</v>
      </c>
    </row>
    <row r="21" spans="1:8" x14ac:dyDescent="0.25">
      <c r="A21" s="20">
        <v>51702</v>
      </c>
      <c r="B21" s="21" t="s">
        <v>23</v>
      </c>
      <c r="C21" s="22"/>
      <c r="D21" s="22">
        <v>6455.34</v>
      </c>
      <c r="E21" s="18">
        <f t="shared" si="1"/>
        <v>6455.34</v>
      </c>
      <c r="F21" s="18">
        <v>6335.19</v>
      </c>
      <c r="G21" s="18">
        <v>120.15</v>
      </c>
      <c r="H21" s="19">
        <f t="shared" si="0"/>
        <v>5.4001247917767614E-13</v>
      </c>
    </row>
    <row r="22" spans="1:8" x14ac:dyDescent="0.25">
      <c r="A22" s="20">
        <v>51903</v>
      </c>
      <c r="B22" s="21" t="s">
        <v>24</v>
      </c>
      <c r="C22" s="22">
        <v>71895</v>
      </c>
      <c r="D22" s="22">
        <v>-9079.5499999999993</v>
      </c>
      <c r="E22" s="18">
        <f t="shared" si="1"/>
        <v>62815.45</v>
      </c>
      <c r="F22" s="18">
        <v>40020.449999999997</v>
      </c>
      <c r="G22" s="18">
        <f>10154.67-9459.67</f>
        <v>695</v>
      </c>
      <c r="H22" s="19">
        <f t="shared" si="0"/>
        <v>22100</v>
      </c>
    </row>
    <row r="23" spans="1:8" x14ac:dyDescent="0.25">
      <c r="A23" s="20">
        <v>51999</v>
      </c>
      <c r="B23" s="21" t="s">
        <v>25</v>
      </c>
      <c r="C23" s="22">
        <v>17000</v>
      </c>
      <c r="D23" s="22"/>
      <c r="E23" s="18">
        <f t="shared" si="1"/>
        <v>17000</v>
      </c>
      <c r="F23" s="18"/>
      <c r="G23" s="24">
        <v>0</v>
      </c>
      <c r="H23" s="19">
        <f t="shared" si="0"/>
        <v>17000</v>
      </c>
    </row>
    <row r="24" spans="1:8" x14ac:dyDescent="0.25">
      <c r="A24" s="25"/>
      <c r="B24" s="26" t="s">
        <v>26</v>
      </c>
      <c r="C24" s="27">
        <f t="shared" ref="C24:H24" si="2">SUM(C9:C23)</f>
        <v>7236009</v>
      </c>
      <c r="D24" s="28">
        <f t="shared" si="2"/>
        <v>27067.650000000027</v>
      </c>
      <c r="E24" s="29">
        <f t="shared" si="2"/>
        <v>7263076.6499999994</v>
      </c>
      <c r="F24" s="30">
        <f t="shared" si="2"/>
        <v>4016936.2899999996</v>
      </c>
      <c r="G24" s="31">
        <f t="shared" si="2"/>
        <v>102920.11999999998</v>
      </c>
      <c r="H24" s="32">
        <f t="shared" si="2"/>
        <v>3143220.2399999993</v>
      </c>
    </row>
    <row r="25" spans="1:8" x14ac:dyDescent="0.25">
      <c r="A25" s="20">
        <v>54101</v>
      </c>
      <c r="B25" s="21" t="s">
        <v>27</v>
      </c>
      <c r="C25" s="22">
        <v>52905</v>
      </c>
      <c r="D25" s="22">
        <v>19533.84</v>
      </c>
      <c r="E25" s="18">
        <f t="shared" ref="E25:E42" si="3">+C25+D25</f>
        <v>72438.84</v>
      </c>
      <c r="F25" s="18">
        <v>58905.21</v>
      </c>
      <c r="G25" s="18">
        <v>8110.53</v>
      </c>
      <c r="H25" s="19">
        <f t="shared" si="0"/>
        <v>5423.0999999999976</v>
      </c>
    </row>
    <row r="26" spans="1:8" x14ac:dyDescent="0.25">
      <c r="A26" s="20">
        <v>54103</v>
      </c>
      <c r="B26" s="21" t="s">
        <v>28</v>
      </c>
      <c r="C26" s="22">
        <v>1000</v>
      </c>
      <c r="D26" s="22">
        <v>79.03</v>
      </c>
      <c r="E26" s="18">
        <f t="shared" si="3"/>
        <v>1079.03</v>
      </c>
      <c r="F26" s="18">
        <v>133.03</v>
      </c>
      <c r="G26" s="18">
        <v>446</v>
      </c>
      <c r="H26" s="19">
        <f t="shared" si="0"/>
        <v>500</v>
      </c>
    </row>
    <row r="27" spans="1:8" x14ac:dyDescent="0.25">
      <c r="A27" s="20">
        <v>54104</v>
      </c>
      <c r="B27" s="21" t="s">
        <v>29</v>
      </c>
      <c r="C27" s="22">
        <v>53150</v>
      </c>
      <c r="D27" s="22">
        <v>-1720</v>
      </c>
      <c r="E27" s="18">
        <f t="shared" si="3"/>
        <v>51430</v>
      </c>
      <c r="F27" s="18">
        <v>10665.7</v>
      </c>
      <c r="G27" s="18">
        <v>4164.3</v>
      </c>
      <c r="H27" s="19">
        <f t="shared" si="0"/>
        <v>36600</v>
      </c>
    </row>
    <row r="28" spans="1:8" x14ac:dyDescent="0.25">
      <c r="A28" s="20">
        <v>54105</v>
      </c>
      <c r="B28" s="21" t="s">
        <v>30</v>
      </c>
      <c r="C28" s="22">
        <v>17135</v>
      </c>
      <c r="D28" s="22">
        <v>639.36</v>
      </c>
      <c r="E28" s="18">
        <f t="shared" si="3"/>
        <v>17774.36</v>
      </c>
      <c r="F28" s="18">
        <v>17177.97</v>
      </c>
      <c r="G28" s="18">
        <v>596.39</v>
      </c>
      <c r="H28" s="19">
        <f t="shared" si="0"/>
        <v>0</v>
      </c>
    </row>
    <row r="29" spans="1:8" x14ac:dyDescent="0.25">
      <c r="A29" s="20">
        <v>54106</v>
      </c>
      <c r="B29" s="21" t="s">
        <v>31</v>
      </c>
      <c r="C29" s="22">
        <v>150</v>
      </c>
      <c r="D29" s="22">
        <v>87</v>
      </c>
      <c r="E29" s="18">
        <f t="shared" si="3"/>
        <v>237</v>
      </c>
      <c r="F29" s="18">
        <v>237</v>
      </c>
      <c r="G29" s="18">
        <v>0</v>
      </c>
      <c r="H29" s="19">
        <f t="shared" si="0"/>
        <v>0</v>
      </c>
    </row>
    <row r="30" spans="1:8" x14ac:dyDescent="0.25">
      <c r="A30" s="20">
        <v>54107</v>
      </c>
      <c r="B30" s="21" t="s">
        <v>32</v>
      </c>
      <c r="C30" s="22">
        <v>10800</v>
      </c>
      <c r="D30" s="22">
        <v>1108.3499999999999</v>
      </c>
      <c r="E30" s="18">
        <f t="shared" si="3"/>
        <v>11908.35</v>
      </c>
      <c r="F30" s="18">
        <v>10913.02</v>
      </c>
      <c r="G30" s="18">
        <v>995.33</v>
      </c>
      <c r="H30" s="19">
        <f t="shared" si="0"/>
        <v>0</v>
      </c>
    </row>
    <row r="31" spans="1:8" x14ac:dyDescent="0.25">
      <c r="A31" s="20">
        <v>54108</v>
      </c>
      <c r="B31" s="21" t="s">
        <v>33</v>
      </c>
      <c r="C31" s="22">
        <v>15000</v>
      </c>
      <c r="D31" s="22">
        <v>481.4</v>
      </c>
      <c r="E31" s="18">
        <f t="shared" si="3"/>
        <v>15481.4</v>
      </c>
      <c r="F31" s="18">
        <v>8481.4</v>
      </c>
      <c r="G31" s="18">
        <v>0</v>
      </c>
      <c r="H31" s="19">
        <f t="shared" si="0"/>
        <v>7000</v>
      </c>
    </row>
    <row r="32" spans="1:8" x14ac:dyDescent="0.25">
      <c r="A32" s="20">
        <v>54109</v>
      </c>
      <c r="B32" s="21" t="s">
        <v>34</v>
      </c>
      <c r="C32" s="22">
        <v>4000</v>
      </c>
      <c r="D32" s="22"/>
      <c r="E32" s="18">
        <f t="shared" si="3"/>
        <v>4000</v>
      </c>
      <c r="F32" s="18">
        <v>1464.72</v>
      </c>
      <c r="G32" s="18">
        <v>535.28</v>
      </c>
      <c r="H32" s="19">
        <f t="shared" si="0"/>
        <v>1999.9999999999998</v>
      </c>
    </row>
    <row r="33" spans="1:8" x14ac:dyDescent="0.25">
      <c r="A33" s="20">
        <v>54110</v>
      </c>
      <c r="B33" s="21" t="s">
        <v>35</v>
      </c>
      <c r="C33" s="22">
        <v>20025</v>
      </c>
      <c r="D33" s="22"/>
      <c r="E33" s="18">
        <f t="shared" si="3"/>
        <v>20025</v>
      </c>
      <c r="F33" s="18">
        <v>21</v>
      </c>
      <c r="G33" s="18">
        <v>20004</v>
      </c>
      <c r="H33" s="19">
        <f t="shared" si="0"/>
        <v>0</v>
      </c>
    </row>
    <row r="34" spans="1:8" x14ac:dyDescent="0.25">
      <c r="A34" s="20">
        <v>54111</v>
      </c>
      <c r="B34" s="21" t="s">
        <v>36</v>
      </c>
      <c r="C34" s="22">
        <v>400</v>
      </c>
      <c r="D34" s="22">
        <v>-253.36</v>
      </c>
      <c r="E34" s="18">
        <f t="shared" si="3"/>
        <v>146.63999999999999</v>
      </c>
      <c r="F34" s="18">
        <v>146.63999999999999</v>
      </c>
      <c r="G34" s="18">
        <v>0</v>
      </c>
      <c r="H34" s="19">
        <f t="shared" si="0"/>
        <v>0</v>
      </c>
    </row>
    <row r="35" spans="1:8" x14ac:dyDescent="0.25">
      <c r="A35" s="20">
        <v>54112</v>
      </c>
      <c r="B35" s="21" t="s">
        <v>37</v>
      </c>
      <c r="C35" s="22">
        <v>1400</v>
      </c>
      <c r="D35" s="22">
        <v>459.62</v>
      </c>
      <c r="E35" s="18">
        <f t="shared" si="3"/>
        <v>1859.62</v>
      </c>
      <c r="F35" s="18">
        <v>1085.71</v>
      </c>
      <c r="G35" s="18">
        <v>773.91</v>
      </c>
      <c r="H35" s="19">
        <f t="shared" si="0"/>
        <v>0</v>
      </c>
    </row>
    <row r="36" spans="1:8" x14ac:dyDescent="0.25">
      <c r="A36" s="20">
        <v>54113</v>
      </c>
      <c r="B36" s="21" t="s">
        <v>38</v>
      </c>
      <c r="C36" s="22">
        <v>900</v>
      </c>
      <c r="D36" s="22">
        <v>-481.4</v>
      </c>
      <c r="E36" s="18">
        <f t="shared" si="3"/>
        <v>418.6</v>
      </c>
      <c r="F36" s="18">
        <v>15</v>
      </c>
      <c r="G36" s="18">
        <v>53.6</v>
      </c>
      <c r="H36" s="19">
        <f t="shared" si="0"/>
        <v>350</v>
      </c>
    </row>
    <row r="37" spans="1:8" x14ac:dyDescent="0.25">
      <c r="A37" s="20">
        <v>54114</v>
      </c>
      <c r="B37" s="21" t="s">
        <v>39</v>
      </c>
      <c r="C37" s="22">
        <v>5425</v>
      </c>
      <c r="D37" s="22">
        <v>-371.64</v>
      </c>
      <c r="E37" s="18">
        <f t="shared" si="3"/>
        <v>5053.3599999999997</v>
      </c>
      <c r="F37" s="18">
        <v>4961.38</v>
      </c>
      <c r="G37" s="18">
        <v>91.98</v>
      </c>
      <c r="H37" s="19">
        <f t="shared" si="0"/>
        <v>-4.4053649617126212E-13</v>
      </c>
    </row>
    <row r="38" spans="1:8" x14ac:dyDescent="0.25">
      <c r="A38" s="20">
        <v>54115</v>
      </c>
      <c r="B38" s="21" t="s">
        <v>40</v>
      </c>
      <c r="C38" s="22">
        <v>12000</v>
      </c>
      <c r="D38" s="22">
        <v>12</v>
      </c>
      <c r="E38" s="18">
        <f t="shared" si="3"/>
        <v>12012</v>
      </c>
      <c r="F38" s="18">
        <v>9410.7199999999993</v>
      </c>
      <c r="G38" s="18">
        <v>2601.2800000000002</v>
      </c>
      <c r="H38" s="19">
        <f t="shared" si="0"/>
        <v>0</v>
      </c>
    </row>
    <row r="39" spans="1:8" x14ac:dyDescent="0.25">
      <c r="A39" s="20">
        <v>54116</v>
      </c>
      <c r="B39" s="21" t="s">
        <v>41</v>
      </c>
      <c r="C39" s="22">
        <v>600</v>
      </c>
      <c r="D39" s="22">
        <v>35</v>
      </c>
      <c r="E39" s="18">
        <f t="shared" si="3"/>
        <v>635</v>
      </c>
      <c r="F39" s="18">
        <v>494.3</v>
      </c>
      <c r="G39" s="18">
        <v>140.69999999999999</v>
      </c>
      <c r="H39" s="19">
        <f t="shared" si="0"/>
        <v>0</v>
      </c>
    </row>
    <row r="40" spans="1:8" x14ac:dyDescent="0.25">
      <c r="A40" s="20">
        <v>54118</v>
      </c>
      <c r="B40" s="21" t="s">
        <v>42</v>
      </c>
      <c r="C40" s="22">
        <v>1750</v>
      </c>
      <c r="D40" s="22">
        <v>187.38</v>
      </c>
      <c r="E40" s="18">
        <f t="shared" si="3"/>
        <v>1937.38</v>
      </c>
      <c r="F40" s="18">
        <v>1071.51</v>
      </c>
      <c r="G40" s="18">
        <v>365.87</v>
      </c>
      <c r="H40" s="19">
        <f t="shared" si="0"/>
        <v>500.00000000000011</v>
      </c>
    </row>
    <row r="41" spans="1:8" x14ac:dyDescent="0.25">
      <c r="A41" s="20">
        <v>54119</v>
      </c>
      <c r="B41" s="21" t="s">
        <v>43</v>
      </c>
      <c r="C41" s="22">
        <v>2000</v>
      </c>
      <c r="D41" s="22">
        <v>1220.6600000000001</v>
      </c>
      <c r="E41" s="18">
        <f t="shared" si="3"/>
        <v>3220.66</v>
      </c>
      <c r="F41" s="18">
        <v>2215.2399999999998</v>
      </c>
      <c r="G41" s="18">
        <v>5.42</v>
      </c>
      <c r="H41" s="19">
        <f t="shared" si="0"/>
        <v>1000.0000000000001</v>
      </c>
    </row>
    <row r="42" spans="1:8" ht="15.75" thickBot="1" x14ac:dyDescent="0.3">
      <c r="A42" s="33">
        <v>54199</v>
      </c>
      <c r="B42" s="34" t="s">
        <v>44</v>
      </c>
      <c r="C42" s="35">
        <v>479395</v>
      </c>
      <c r="D42" s="35">
        <v>-26073.52</v>
      </c>
      <c r="E42" s="18">
        <f t="shared" si="3"/>
        <v>453321.48</v>
      </c>
      <c r="F42" s="18">
        <v>411110.49</v>
      </c>
      <c r="G42" s="18">
        <v>10803.59</v>
      </c>
      <c r="H42" s="36">
        <f t="shared" si="0"/>
        <v>31407.399999999991</v>
      </c>
    </row>
    <row r="43" spans="1:8" ht="15.75" thickBot="1" x14ac:dyDescent="0.3">
      <c r="A43" s="37"/>
      <c r="B43" s="38" t="s">
        <v>45</v>
      </c>
      <c r="C43" s="39">
        <f>SUM(C25:C42)</f>
        <v>678035</v>
      </c>
      <c r="D43" s="39">
        <f>SUM(D25:D42)</f>
        <v>-5056.2800000000025</v>
      </c>
      <c r="E43" s="39">
        <f>SUM(E25:E42)</f>
        <v>672978.72</v>
      </c>
      <c r="F43" s="39">
        <f>SUM(F25:F42)</f>
        <v>538510.04</v>
      </c>
      <c r="G43" s="39">
        <f>SUM(G25:G42)</f>
        <v>49688.180000000008</v>
      </c>
      <c r="H43" s="40">
        <f t="shared" si="0"/>
        <v>84780.499999999927</v>
      </c>
    </row>
    <row r="44" spans="1:8" x14ac:dyDescent="0.25">
      <c r="A44" s="41"/>
      <c r="B44" s="42"/>
      <c r="C44" s="43"/>
      <c r="D44" s="44"/>
      <c r="E44" s="44"/>
      <c r="F44" s="44"/>
      <c r="G44" s="44"/>
      <c r="H44" s="45"/>
    </row>
    <row r="45" spans="1:8" x14ac:dyDescent="0.25">
      <c r="A45" s="41"/>
      <c r="B45" s="42"/>
      <c r="C45" s="43"/>
      <c r="D45" s="44"/>
      <c r="E45" s="44"/>
      <c r="F45" s="44"/>
      <c r="G45" s="44"/>
      <c r="H45" s="45"/>
    </row>
    <row r="46" spans="1:8" ht="15.75" thickBot="1" x14ac:dyDescent="0.3">
      <c r="A46" s="41"/>
      <c r="B46" s="42"/>
      <c r="C46" s="43"/>
      <c r="D46" s="44"/>
      <c r="E46" s="44"/>
      <c r="F46" s="44"/>
      <c r="G46" s="44"/>
      <c r="H46" s="45"/>
    </row>
    <row r="47" spans="1:8" ht="15.75" thickBot="1" x14ac:dyDescent="0.3">
      <c r="A47" s="7" t="s">
        <v>5</v>
      </c>
      <c r="B47" s="8" t="s">
        <v>6</v>
      </c>
      <c r="C47" s="46" t="s">
        <v>7</v>
      </c>
      <c r="D47" s="10" t="s">
        <v>8</v>
      </c>
      <c r="E47" s="47" t="s">
        <v>46</v>
      </c>
      <c r="F47" s="48" t="s">
        <v>10</v>
      </c>
      <c r="G47" s="49" t="s">
        <v>11</v>
      </c>
      <c r="H47" s="50" t="s">
        <v>12</v>
      </c>
    </row>
    <row r="48" spans="1:8" x14ac:dyDescent="0.25">
      <c r="A48" s="51">
        <v>54201</v>
      </c>
      <c r="B48" s="52" t="s">
        <v>47</v>
      </c>
      <c r="C48" s="53">
        <v>191255</v>
      </c>
      <c r="D48" s="53">
        <v>-6704.46</v>
      </c>
      <c r="E48" s="18">
        <f t="shared" ref="E48:E51" si="4">+C48+D48</f>
        <v>184550.54</v>
      </c>
      <c r="F48" s="18">
        <v>84064.31</v>
      </c>
      <c r="G48" s="18">
        <f>21312.98-3698.3</f>
        <v>17614.68</v>
      </c>
      <c r="H48" s="54">
        <f t="shared" si="0"/>
        <v>82871.550000000017</v>
      </c>
    </row>
    <row r="49" spans="1:8" x14ac:dyDescent="0.25">
      <c r="A49" s="20">
        <v>54202</v>
      </c>
      <c r="B49" s="21" t="s">
        <v>48</v>
      </c>
      <c r="C49" s="22">
        <v>43800</v>
      </c>
      <c r="D49" s="22">
        <v>472.53</v>
      </c>
      <c r="E49" s="18">
        <f t="shared" si="4"/>
        <v>44272.53</v>
      </c>
      <c r="F49" s="18">
        <v>12608.11</v>
      </c>
      <c r="G49" s="18">
        <v>11688.79</v>
      </c>
      <c r="H49" s="19">
        <f t="shared" si="0"/>
        <v>19975.629999999997</v>
      </c>
    </row>
    <row r="50" spans="1:8" x14ac:dyDescent="0.25">
      <c r="A50" s="33">
        <v>54203</v>
      </c>
      <c r="B50" s="34" t="s">
        <v>49</v>
      </c>
      <c r="C50" s="35">
        <v>188800</v>
      </c>
      <c r="D50" s="35">
        <v>-24171.48</v>
      </c>
      <c r="E50" s="18">
        <f t="shared" si="4"/>
        <v>164628.51999999999</v>
      </c>
      <c r="F50" s="18">
        <v>91942.87</v>
      </c>
      <c r="G50" s="18">
        <f>39368.84-23369.35</f>
        <v>15999.489999999998</v>
      </c>
      <c r="H50" s="36">
        <f t="shared" si="0"/>
        <v>56686.159999999996</v>
      </c>
    </row>
    <row r="51" spans="1:8" x14ac:dyDescent="0.25">
      <c r="A51" s="20">
        <v>54204</v>
      </c>
      <c r="B51" s="21" t="s">
        <v>50</v>
      </c>
      <c r="C51" s="22">
        <v>1200</v>
      </c>
      <c r="D51" s="22"/>
      <c r="E51" s="18">
        <f t="shared" si="4"/>
        <v>1200</v>
      </c>
      <c r="F51" s="18"/>
      <c r="G51" s="18">
        <v>600</v>
      </c>
      <c r="H51" s="55">
        <f t="shared" si="0"/>
        <v>600</v>
      </c>
    </row>
    <row r="52" spans="1:8" x14ac:dyDescent="0.25">
      <c r="A52" s="56"/>
      <c r="B52" s="26" t="s">
        <v>45</v>
      </c>
      <c r="C52" s="28">
        <f>SUM(C48:C51)</f>
        <v>425055</v>
      </c>
      <c r="D52" s="28">
        <f>SUM(D48:D51)</f>
        <v>-30403.41</v>
      </c>
      <c r="E52" s="28">
        <f>SUM(E48:E51)</f>
        <v>394651.58999999997</v>
      </c>
      <c r="F52" s="28">
        <f>SUM(F48:F51)</f>
        <v>188615.28999999998</v>
      </c>
      <c r="G52" s="28">
        <f>SUM(G48:G51)</f>
        <v>45902.96</v>
      </c>
      <c r="H52" s="57">
        <f t="shared" si="0"/>
        <v>160133.34</v>
      </c>
    </row>
    <row r="53" spans="1:8" x14ac:dyDescent="0.25">
      <c r="A53" s="20">
        <v>54301</v>
      </c>
      <c r="B53" s="21" t="s">
        <v>51</v>
      </c>
      <c r="C53" s="22">
        <v>35000</v>
      </c>
      <c r="D53" s="22"/>
      <c r="E53" s="18">
        <f t="shared" ref="E53:E63" si="5">+C53+D53</f>
        <v>35000</v>
      </c>
      <c r="F53" s="18">
        <v>20404.02</v>
      </c>
      <c r="G53" s="18">
        <v>8352.58</v>
      </c>
      <c r="H53" s="55">
        <f t="shared" si="0"/>
        <v>6243.4</v>
      </c>
    </row>
    <row r="54" spans="1:8" x14ac:dyDescent="0.25">
      <c r="A54" s="16">
        <v>54302</v>
      </c>
      <c r="B54" s="17" t="s">
        <v>52</v>
      </c>
      <c r="C54" s="18">
        <v>63000</v>
      </c>
      <c r="D54" s="18">
        <v>68.06</v>
      </c>
      <c r="E54" s="18">
        <f t="shared" si="5"/>
        <v>63068.06</v>
      </c>
      <c r="F54" s="18">
        <v>44636.75</v>
      </c>
      <c r="G54" s="18">
        <v>11110.52</v>
      </c>
      <c r="H54" s="19">
        <f t="shared" si="0"/>
        <v>7320.7899999999972</v>
      </c>
    </row>
    <row r="55" spans="1:8" x14ac:dyDescent="0.25">
      <c r="A55" s="20">
        <v>54304</v>
      </c>
      <c r="B55" s="21" t="s">
        <v>53</v>
      </c>
      <c r="C55" s="22">
        <v>2000</v>
      </c>
      <c r="D55" s="22">
        <v>-128.58000000000001</v>
      </c>
      <c r="E55" s="18">
        <f t="shared" si="5"/>
        <v>1871.42</v>
      </c>
      <c r="F55" s="18">
        <v>155.55000000000001</v>
      </c>
      <c r="G55" s="18">
        <v>715.87</v>
      </c>
      <c r="H55" s="55">
        <f t="shared" si="0"/>
        <v>1000.0000000000001</v>
      </c>
    </row>
    <row r="56" spans="1:8" x14ac:dyDescent="0.25">
      <c r="A56" s="20">
        <v>54305</v>
      </c>
      <c r="B56" s="21" t="s">
        <v>54</v>
      </c>
      <c r="C56" s="22">
        <v>74200</v>
      </c>
      <c r="D56" s="22">
        <v>-6084.76</v>
      </c>
      <c r="E56" s="18">
        <f t="shared" si="5"/>
        <v>68115.240000000005</v>
      </c>
      <c r="F56" s="18">
        <v>1021.25</v>
      </c>
      <c r="G56" s="18">
        <v>32334.99</v>
      </c>
      <c r="H56" s="55">
        <f t="shared" si="0"/>
        <v>34759</v>
      </c>
    </row>
    <row r="57" spans="1:8" x14ac:dyDescent="0.25">
      <c r="A57" s="20">
        <v>54307</v>
      </c>
      <c r="B57" s="21" t="s">
        <v>55</v>
      </c>
      <c r="C57" s="22">
        <v>13000</v>
      </c>
      <c r="D57" s="22">
        <v>-1246</v>
      </c>
      <c r="E57" s="18">
        <f t="shared" si="5"/>
        <v>11754</v>
      </c>
      <c r="F57" s="18">
        <v>6087.36</v>
      </c>
      <c r="G57" s="18">
        <v>3010.32</v>
      </c>
      <c r="H57" s="55">
        <f t="shared" si="0"/>
        <v>2656.32</v>
      </c>
    </row>
    <row r="58" spans="1:8" x14ac:dyDescent="0.25">
      <c r="A58" s="20">
        <v>54308</v>
      </c>
      <c r="B58" s="21" t="s">
        <v>56</v>
      </c>
      <c r="C58" s="22">
        <v>0</v>
      </c>
      <c r="D58" s="22">
        <v>1266</v>
      </c>
      <c r="E58" s="18">
        <f t="shared" si="5"/>
        <v>1266</v>
      </c>
      <c r="F58" s="18">
        <v>1266</v>
      </c>
      <c r="G58" s="18">
        <v>0</v>
      </c>
      <c r="H58" s="55">
        <f t="shared" si="0"/>
        <v>0</v>
      </c>
    </row>
    <row r="59" spans="1:8" x14ac:dyDescent="0.25">
      <c r="A59" s="20">
        <v>54313</v>
      </c>
      <c r="B59" s="21" t="s">
        <v>57</v>
      </c>
      <c r="C59" s="22">
        <v>33900</v>
      </c>
      <c r="D59" s="22">
        <v>-3338.38</v>
      </c>
      <c r="E59" s="18">
        <f t="shared" si="5"/>
        <v>30561.62</v>
      </c>
      <c r="F59" s="18">
        <v>7995.3</v>
      </c>
      <c r="G59" s="18">
        <v>12284.52</v>
      </c>
      <c r="H59" s="55">
        <f t="shared" si="0"/>
        <v>10281.799999999999</v>
      </c>
    </row>
    <row r="60" spans="1:8" x14ac:dyDescent="0.25">
      <c r="A60" s="20">
        <v>54314</v>
      </c>
      <c r="B60" s="21" t="s">
        <v>58</v>
      </c>
      <c r="C60" s="22">
        <v>47000</v>
      </c>
      <c r="D60" s="22">
        <v>7181.11</v>
      </c>
      <c r="E60" s="18">
        <f t="shared" si="5"/>
        <v>54181.11</v>
      </c>
      <c r="F60" s="18">
        <v>5383.11</v>
      </c>
      <c r="G60" s="18">
        <v>10798</v>
      </c>
      <c r="H60" s="55">
        <f t="shared" si="0"/>
        <v>38000</v>
      </c>
    </row>
    <row r="61" spans="1:8" x14ac:dyDescent="0.25">
      <c r="A61" s="20">
        <v>54316</v>
      </c>
      <c r="B61" s="21" t="s">
        <v>59</v>
      </c>
      <c r="C61" s="22">
        <v>24000</v>
      </c>
      <c r="D61" s="22"/>
      <c r="E61" s="18">
        <f t="shared" si="5"/>
        <v>24000</v>
      </c>
      <c r="F61" s="18">
        <v>22159.06</v>
      </c>
      <c r="G61" s="18">
        <v>1767.2</v>
      </c>
      <c r="H61" s="55">
        <f t="shared" si="0"/>
        <v>73.739999999998645</v>
      </c>
    </row>
    <row r="62" spans="1:8" x14ac:dyDescent="0.25">
      <c r="A62" s="20">
        <v>54317</v>
      </c>
      <c r="B62" s="21" t="s">
        <v>60</v>
      </c>
      <c r="C62" s="22">
        <v>584880</v>
      </c>
      <c r="D62" s="22"/>
      <c r="E62" s="18">
        <f t="shared" si="5"/>
        <v>584880</v>
      </c>
      <c r="F62" s="18">
        <v>584872.92000000004</v>
      </c>
      <c r="G62" s="18">
        <v>3.54</v>
      </c>
      <c r="H62" s="55">
        <f t="shared" si="0"/>
        <v>3.5399999999580904</v>
      </c>
    </row>
    <row r="63" spans="1:8" x14ac:dyDescent="0.25">
      <c r="A63" s="20">
        <v>54399</v>
      </c>
      <c r="B63" s="21" t="s">
        <v>61</v>
      </c>
      <c r="C63" s="22">
        <v>49280</v>
      </c>
      <c r="D63" s="22">
        <v>154355.46</v>
      </c>
      <c r="E63" s="18">
        <f t="shared" si="5"/>
        <v>203635.46</v>
      </c>
      <c r="F63" s="18">
        <v>35447.46</v>
      </c>
      <c r="G63" s="18">
        <v>2869</v>
      </c>
      <c r="H63" s="55">
        <f t="shared" si="0"/>
        <v>165319</v>
      </c>
    </row>
    <row r="64" spans="1:8" x14ac:dyDescent="0.25">
      <c r="A64" s="56"/>
      <c r="B64" s="26" t="s">
        <v>45</v>
      </c>
      <c r="C64" s="28">
        <f>SUM(C53:C63)</f>
        <v>926260</v>
      </c>
      <c r="D64" s="28">
        <f>SUM(D53:D63)</f>
        <v>152072.91</v>
      </c>
      <c r="E64" s="28">
        <f>SUM(E53:E63)</f>
        <v>1078332.9099999999</v>
      </c>
      <c r="F64" s="28">
        <f>SUM(F53:F63)</f>
        <v>729428.78</v>
      </c>
      <c r="G64" s="28">
        <f>SUM(G53:G63)</f>
        <v>83246.539999999994</v>
      </c>
      <c r="H64" s="57">
        <f t="shared" si="0"/>
        <v>265657.58999999991</v>
      </c>
    </row>
    <row r="65" spans="1:9" x14ac:dyDescent="0.25">
      <c r="A65" s="20">
        <v>54402</v>
      </c>
      <c r="B65" s="21" t="s">
        <v>62</v>
      </c>
      <c r="C65" s="22">
        <v>8000</v>
      </c>
      <c r="D65" s="22">
        <v>284.13</v>
      </c>
      <c r="E65" s="18">
        <f t="shared" ref="E65:E67" si="6">+C65+D65</f>
        <v>8284.1299999999992</v>
      </c>
      <c r="F65" s="18">
        <v>4284.13</v>
      </c>
      <c r="G65" s="22">
        <v>0</v>
      </c>
      <c r="H65" s="55">
        <f t="shared" si="0"/>
        <v>3999.9999999999991</v>
      </c>
    </row>
    <row r="66" spans="1:9" x14ac:dyDescent="0.25">
      <c r="A66" s="20">
        <v>54403</v>
      </c>
      <c r="B66" s="21" t="s">
        <v>63</v>
      </c>
      <c r="C66" s="22">
        <v>11460</v>
      </c>
      <c r="D66" s="22"/>
      <c r="E66" s="18">
        <f t="shared" si="6"/>
        <v>11460</v>
      </c>
      <c r="F66" s="18">
        <v>3698</v>
      </c>
      <c r="G66" s="18">
        <v>2362</v>
      </c>
      <c r="H66" s="55">
        <f t="shared" si="0"/>
        <v>5400</v>
      </c>
    </row>
    <row r="67" spans="1:9" x14ac:dyDescent="0.25">
      <c r="A67" s="20">
        <v>54404</v>
      </c>
      <c r="B67" s="21" t="s">
        <v>64</v>
      </c>
      <c r="C67" s="22">
        <v>20000</v>
      </c>
      <c r="D67" s="22">
        <v>6035</v>
      </c>
      <c r="E67" s="18">
        <f t="shared" si="6"/>
        <v>26035</v>
      </c>
      <c r="F67" s="18">
        <v>16035</v>
      </c>
      <c r="G67" s="18">
        <v>0</v>
      </c>
      <c r="H67" s="55">
        <f t="shared" si="0"/>
        <v>10000</v>
      </c>
    </row>
    <row r="68" spans="1:9" x14ac:dyDescent="0.25">
      <c r="A68" s="56"/>
      <c r="B68" s="26" t="s">
        <v>45</v>
      </c>
      <c r="C68" s="28">
        <f>SUM(C65:C67)</f>
        <v>39460</v>
      </c>
      <c r="D68" s="28">
        <f>SUM(D65:D67)</f>
        <v>6319.13</v>
      </c>
      <c r="E68" s="28">
        <f>SUM(E65:E67)</f>
        <v>45779.13</v>
      </c>
      <c r="F68" s="28">
        <f>SUM(F65:F67)</f>
        <v>24017.13</v>
      </c>
      <c r="G68" s="28">
        <f>SUM(G65:G67)</f>
        <v>2362</v>
      </c>
      <c r="H68" s="57">
        <f t="shared" si="0"/>
        <v>19399.999999999996</v>
      </c>
    </row>
    <row r="69" spans="1:9" x14ac:dyDescent="0.25">
      <c r="A69" s="20">
        <v>54505</v>
      </c>
      <c r="B69" s="21" t="s">
        <v>65</v>
      </c>
      <c r="C69" s="22">
        <v>4000</v>
      </c>
      <c r="D69" s="22"/>
      <c r="E69" s="18">
        <f t="shared" ref="E69:E70" si="7">+C69+D69</f>
        <v>4000</v>
      </c>
      <c r="F69" s="18">
        <v>0</v>
      </c>
      <c r="G69" s="18">
        <v>2000</v>
      </c>
      <c r="H69" s="55">
        <f t="shared" si="0"/>
        <v>2000</v>
      </c>
    </row>
    <row r="70" spans="1:9" x14ac:dyDescent="0.25">
      <c r="A70" s="20">
        <v>54599</v>
      </c>
      <c r="B70" s="21" t="s">
        <v>66</v>
      </c>
      <c r="C70" s="22">
        <v>34100</v>
      </c>
      <c r="D70" s="22"/>
      <c r="E70" s="18">
        <f t="shared" si="7"/>
        <v>34100</v>
      </c>
      <c r="F70" s="18">
        <v>0</v>
      </c>
      <c r="G70" s="18">
        <v>15500</v>
      </c>
      <c r="H70" s="55">
        <f t="shared" si="0"/>
        <v>18600</v>
      </c>
    </row>
    <row r="71" spans="1:9" x14ac:dyDescent="0.25">
      <c r="A71" s="56"/>
      <c r="B71" s="26" t="s">
        <v>45</v>
      </c>
      <c r="C71" s="28">
        <f>SUM(C69:C70)</f>
        <v>38100</v>
      </c>
      <c r="D71" s="28">
        <f>SUM(D69:D70)</f>
        <v>0</v>
      </c>
      <c r="E71" s="28">
        <f>SUM(E69:E70)</f>
        <v>38100</v>
      </c>
      <c r="F71" s="28">
        <f>SUM(F69:F70)</f>
        <v>0</v>
      </c>
      <c r="G71" s="28">
        <f>SUM(G69:G70)</f>
        <v>17500</v>
      </c>
      <c r="H71" s="55">
        <f t="shared" si="0"/>
        <v>20600</v>
      </c>
    </row>
    <row r="72" spans="1:9" x14ac:dyDescent="0.25">
      <c r="A72" s="58"/>
      <c r="B72" s="26" t="s">
        <v>26</v>
      </c>
      <c r="C72" s="28">
        <f>+C71+C68+C64+C52+C43</f>
        <v>2106910</v>
      </c>
      <c r="D72" s="28">
        <f>+D71+D68+D64+D52+D43</f>
        <v>122932.35</v>
      </c>
      <c r="E72" s="29">
        <f>+E71+E68+E64+E52+E43</f>
        <v>2229842.3499999996</v>
      </c>
      <c r="F72" s="30">
        <f>+F71+F68+F64+F52+F43</f>
        <v>1480571.24</v>
      </c>
      <c r="G72" s="59">
        <f>+G71+G68+G64+G52+G43</f>
        <v>198699.68</v>
      </c>
      <c r="H72" s="60">
        <f t="shared" si="0"/>
        <v>550571.4299999997</v>
      </c>
    </row>
    <row r="73" spans="1:9" x14ac:dyDescent="0.25">
      <c r="A73" s="20">
        <v>55599</v>
      </c>
      <c r="B73" s="21" t="s">
        <v>67</v>
      </c>
      <c r="C73" s="22">
        <v>3400</v>
      </c>
      <c r="D73" s="22"/>
      <c r="E73" s="18">
        <f>+C73+D73</f>
        <v>3400</v>
      </c>
      <c r="F73" s="18">
        <v>2718.64</v>
      </c>
      <c r="G73" s="18">
        <v>681.36</v>
      </c>
      <c r="H73" s="55">
        <f t="shared" si="0"/>
        <v>0</v>
      </c>
    </row>
    <row r="74" spans="1:9" x14ac:dyDescent="0.25">
      <c r="A74" s="56"/>
      <c r="B74" s="26" t="s">
        <v>45</v>
      </c>
      <c r="C74" s="28">
        <f>SUM(C73)</f>
        <v>3400</v>
      </c>
      <c r="D74" s="28">
        <f>SUM(D73)</f>
        <v>0</v>
      </c>
      <c r="E74" s="28">
        <f>SUM(E73)</f>
        <v>3400</v>
      </c>
      <c r="F74" s="28">
        <f>SUM(F73)</f>
        <v>2718.64</v>
      </c>
      <c r="G74" s="28">
        <f>SUM(G73)</f>
        <v>681.36</v>
      </c>
      <c r="H74" s="55">
        <f t="shared" si="0"/>
        <v>0</v>
      </c>
    </row>
    <row r="75" spans="1:9" x14ac:dyDescent="0.25">
      <c r="A75" s="20">
        <v>55601</v>
      </c>
      <c r="B75" s="21" t="s">
        <v>68</v>
      </c>
      <c r="C75" s="22">
        <v>47000</v>
      </c>
      <c r="D75" s="22">
        <v>1457.22</v>
      </c>
      <c r="E75" s="18">
        <f t="shared" ref="E75:E77" si="8">+C75+D75</f>
        <v>48457.22</v>
      </c>
      <c r="F75" s="18">
        <v>48457.22</v>
      </c>
      <c r="G75" s="18">
        <v>0</v>
      </c>
      <c r="H75" s="55">
        <f t="shared" ref="H75:H98" si="9">+E75-F75-G75</f>
        <v>0</v>
      </c>
    </row>
    <row r="76" spans="1:9" x14ac:dyDescent="0.25">
      <c r="A76" s="20">
        <v>55602</v>
      </c>
      <c r="B76" s="21" t="s">
        <v>69</v>
      </c>
      <c r="C76" s="22">
        <v>36000</v>
      </c>
      <c r="D76" s="22">
        <v>21149.56</v>
      </c>
      <c r="E76" s="18">
        <f t="shared" si="8"/>
        <v>57149.56</v>
      </c>
      <c r="F76" s="18">
        <v>57147.74</v>
      </c>
      <c r="G76" s="18">
        <v>1.82</v>
      </c>
      <c r="H76" s="55">
        <f t="shared" si="9"/>
        <v>-2.9110047705671604E-13</v>
      </c>
    </row>
    <row r="77" spans="1:9" x14ac:dyDescent="0.25">
      <c r="A77" s="20">
        <v>55603</v>
      </c>
      <c r="B77" s="21" t="s">
        <v>70</v>
      </c>
      <c r="C77" s="22">
        <v>25</v>
      </c>
      <c r="D77" s="22">
        <v>0</v>
      </c>
      <c r="E77" s="18">
        <f t="shared" si="8"/>
        <v>25</v>
      </c>
      <c r="F77" s="18">
        <v>25</v>
      </c>
      <c r="G77" s="22">
        <v>0</v>
      </c>
      <c r="H77" s="55">
        <f t="shared" si="9"/>
        <v>0</v>
      </c>
    </row>
    <row r="78" spans="1:9" x14ac:dyDescent="0.25">
      <c r="A78" s="56"/>
      <c r="B78" s="26" t="s">
        <v>45</v>
      </c>
      <c r="C78" s="28">
        <f>SUM(C75:C77)</f>
        <v>83025</v>
      </c>
      <c r="D78" s="28">
        <f>SUM(D75:D76)</f>
        <v>22606.780000000002</v>
      </c>
      <c r="E78" s="28">
        <f>SUM(E75:E77)</f>
        <v>105631.78</v>
      </c>
      <c r="F78" s="28">
        <f>SUM(F75:F77)</f>
        <v>105629.95999999999</v>
      </c>
      <c r="G78" s="28">
        <f>SUM(G75:G77)</f>
        <v>1.82</v>
      </c>
      <c r="H78" s="55">
        <f t="shared" si="9"/>
        <v>6.9848571371267099E-12</v>
      </c>
      <c r="I78" s="61"/>
    </row>
    <row r="79" spans="1:9" x14ac:dyDescent="0.25">
      <c r="A79" s="58"/>
      <c r="B79" s="26" t="s">
        <v>26</v>
      </c>
      <c r="C79" s="28">
        <f>+C78+C74</f>
        <v>86425</v>
      </c>
      <c r="D79" s="28">
        <f>+D74+D78</f>
        <v>22606.780000000002</v>
      </c>
      <c r="E79" s="29">
        <f>+E78+E74</f>
        <v>109031.78</v>
      </c>
      <c r="F79" s="30">
        <f>+F78+F74</f>
        <v>108348.59999999999</v>
      </c>
      <c r="G79" s="59">
        <f>+G74+G78</f>
        <v>683.18000000000006</v>
      </c>
      <c r="H79" s="60">
        <f t="shared" si="9"/>
        <v>7.503331289626658E-12</v>
      </c>
      <c r="I79" s="61"/>
    </row>
    <row r="80" spans="1:9" x14ac:dyDescent="0.25">
      <c r="A80" s="20">
        <v>56303</v>
      </c>
      <c r="B80" s="21" t="s">
        <v>71</v>
      </c>
      <c r="C80" s="22">
        <v>4000</v>
      </c>
      <c r="D80" s="22"/>
      <c r="E80" s="18">
        <f t="shared" ref="E80:E81" si="10">+C80+D80</f>
        <v>4000</v>
      </c>
      <c r="F80" s="18"/>
      <c r="G80" s="22">
        <v>2000</v>
      </c>
      <c r="H80" s="55">
        <f t="shared" si="9"/>
        <v>2000</v>
      </c>
      <c r="I80" s="62"/>
    </row>
    <row r="81" spans="1:9" x14ac:dyDescent="0.25">
      <c r="A81" s="20">
        <v>56304</v>
      </c>
      <c r="B81" s="21" t="s">
        <v>72</v>
      </c>
      <c r="C81" s="22">
        <v>0</v>
      </c>
      <c r="D81" s="22">
        <v>0</v>
      </c>
      <c r="E81" s="18">
        <f t="shared" si="10"/>
        <v>0</v>
      </c>
      <c r="F81" s="18">
        <v>0</v>
      </c>
      <c r="G81" s="22">
        <v>0</v>
      </c>
      <c r="H81" s="55">
        <f t="shared" si="9"/>
        <v>0</v>
      </c>
      <c r="I81" s="62"/>
    </row>
    <row r="82" spans="1:9" x14ac:dyDescent="0.25">
      <c r="A82" s="56"/>
      <c r="B82" s="26" t="s">
        <v>45</v>
      </c>
      <c r="C82" s="28">
        <f>C81+C80</f>
        <v>4000</v>
      </c>
      <c r="D82" s="28">
        <f>SUM(D80:D81)</f>
        <v>0</v>
      </c>
      <c r="E82" s="28">
        <f>SUM(E80:E81)</f>
        <v>4000</v>
      </c>
      <c r="F82" s="28">
        <f>SUM(F80:F81)</f>
        <v>0</v>
      </c>
      <c r="G82" s="28">
        <f>SUM(G80)</f>
        <v>2000</v>
      </c>
      <c r="H82" s="57">
        <f t="shared" si="9"/>
        <v>2000</v>
      </c>
      <c r="I82" s="62"/>
    </row>
    <row r="83" spans="1:9" x14ac:dyDescent="0.25">
      <c r="A83" s="20">
        <v>56404</v>
      </c>
      <c r="B83" s="21" t="s">
        <v>73</v>
      </c>
      <c r="C83" s="22">
        <v>5500</v>
      </c>
      <c r="D83" s="22"/>
      <c r="E83" s="18">
        <f>+C83+D83</f>
        <v>5500</v>
      </c>
      <c r="F83" s="18">
        <v>5121.01</v>
      </c>
      <c r="G83" s="22">
        <v>378.99</v>
      </c>
      <c r="H83" s="55">
        <f t="shared" si="9"/>
        <v>0</v>
      </c>
      <c r="I83" s="62"/>
    </row>
    <row r="84" spans="1:9" ht="15.75" thickBot="1" x14ac:dyDescent="0.3">
      <c r="A84" s="63"/>
      <c r="B84" s="64" t="s">
        <v>45</v>
      </c>
      <c r="C84" s="65">
        <f>SUM(C83)</f>
        <v>5500</v>
      </c>
      <c r="D84" s="65">
        <f>SUM(D83)</f>
        <v>0</v>
      </c>
      <c r="E84" s="65">
        <f>SUM(E83)</f>
        <v>5500</v>
      </c>
      <c r="F84" s="65">
        <f>SUM(F83)</f>
        <v>5121.01</v>
      </c>
      <c r="G84" s="65">
        <f>SUM(G83)</f>
        <v>378.99</v>
      </c>
      <c r="H84" s="66">
        <f t="shared" si="9"/>
        <v>0</v>
      </c>
      <c r="I84" s="62"/>
    </row>
    <row r="85" spans="1:9" ht="15.75" thickBot="1" x14ac:dyDescent="0.3">
      <c r="A85" s="67"/>
      <c r="B85" s="68" t="s">
        <v>26</v>
      </c>
      <c r="C85" s="69">
        <f>+C82+C84</f>
        <v>9500</v>
      </c>
      <c r="D85" s="69">
        <f t="shared" ref="D85:H85" si="11">+D82+D84</f>
        <v>0</v>
      </c>
      <c r="E85" s="70">
        <f t="shared" si="11"/>
        <v>9500</v>
      </c>
      <c r="F85" s="71">
        <f t="shared" si="11"/>
        <v>5121.01</v>
      </c>
      <c r="G85" s="72">
        <f t="shared" si="11"/>
        <v>2378.9899999999998</v>
      </c>
      <c r="H85" s="73">
        <f t="shared" si="11"/>
        <v>2000</v>
      </c>
      <c r="I85" s="62"/>
    </row>
    <row r="86" spans="1:9" x14ac:dyDescent="0.25">
      <c r="A86" s="42"/>
      <c r="B86" s="42"/>
      <c r="C86" s="43"/>
      <c r="D86" s="44"/>
      <c r="E86" s="44"/>
      <c r="F86" s="44"/>
      <c r="G86" s="44"/>
      <c r="H86" s="44"/>
      <c r="I86" s="62"/>
    </row>
    <row r="87" spans="1:9" x14ac:dyDescent="0.25">
      <c r="A87" s="42"/>
      <c r="B87" s="42"/>
      <c r="C87" s="43"/>
      <c r="D87" s="44"/>
      <c r="E87" s="44"/>
      <c r="F87" s="44"/>
      <c r="G87" s="44"/>
      <c r="H87" s="44"/>
      <c r="I87" s="62"/>
    </row>
    <row r="88" spans="1:9" x14ac:dyDescent="0.25">
      <c r="A88" s="42"/>
      <c r="B88" s="42"/>
      <c r="C88" s="43"/>
      <c r="D88" s="44"/>
      <c r="E88" s="44"/>
      <c r="F88" s="44"/>
      <c r="G88" s="44"/>
      <c r="H88" s="44"/>
      <c r="I88" s="62"/>
    </row>
    <row r="89" spans="1:9" ht="15.75" thickBot="1" x14ac:dyDescent="0.3">
      <c r="A89" s="42"/>
      <c r="B89" s="42"/>
      <c r="C89" s="43"/>
      <c r="D89" s="44"/>
      <c r="E89" s="44"/>
      <c r="F89" s="44"/>
      <c r="G89" s="44"/>
      <c r="H89" s="44"/>
      <c r="I89" s="62"/>
    </row>
    <row r="90" spans="1:9" ht="15.75" thickBot="1" x14ac:dyDescent="0.3">
      <c r="A90" s="7" t="s">
        <v>5</v>
      </c>
      <c r="B90" s="8" t="s">
        <v>6</v>
      </c>
      <c r="C90" s="46" t="s">
        <v>7</v>
      </c>
      <c r="D90" s="10" t="s">
        <v>8</v>
      </c>
      <c r="E90" s="47" t="s">
        <v>46</v>
      </c>
      <c r="F90" s="48" t="s">
        <v>10</v>
      </c>
      <c r="G90" s="49" t="s">
        <v>11</v>
      </c>
      <c r="H90" s="50" t="s">
        <v>12</v>
      </c>
      <c r="I90" s="62"/>
    </row>
    <row r="91" spans="1:9" x14ac:dyDescent="0.25">
      <c r="A91" s="74">
        <v>61101</v>
      </c>
      <c r="B91" s="75" t="s">
        <v>74</v>
      </c>
      <c r="C91" s="76">
        <v>5000</v>
      </c>
      <c r="D91" s="76">
        <v>-3792.51</v>
      </c>
      <c r="E91" s="53">
        <f t="shared" ref="E91:E95" si="12">+C91+D91</f>
        <v>1207.4899999999998</v>
      </c>
      <c r="F91" s="53">
        <v>0</v>
      </c>
      <c r="G91" s="76">
        <v>0</v>
      </c>
      <c r="H91" s="54">
        <f t="shared" si="9"/>
        <v>1207.4899999999998</v>
      </c>
      <c r="I91" s="77"/>
    </row>
    <row r="92" spans="1:9" x14ac:dyDescent="0.25">
      <c r="A92" s="56">
        <v>61102</v>
      </c>
      <c r="B92" s="78" t="s">
        <v>75</v>
      </c>
      <c r="C92" s="23">
        <v>15000</v>
      </c>
      <c r="D92" s="23">
        <v>-9718</v>
      </c>
      <c r="E92" s="18">
        <f t="shared" si="12"/>
        <v>5282</v>
      </c>
      <c r="F92" s="18">
        <v>5282</v>
      </c>
      <c r="G92" s="23">
        <v>0</v>
      </c>
      <c r="H92" s="55">
        <f t="shared" si="9"/>
        <v>0</v>
      </c>
      <c r="I92" s="77"/>
    </row>
    <row r="93" spans="1:9" x14ac:dyDescent="0.25">
      <c r="A93" s="56">
        <v>61103</v>
      </c>
      <c r="B93" s="78" t="s">
        <v>76</v>
      </c>
      <c r="C93" s="23">
        <v>500</v>
      </c>
      <c r="D93" s="23"/>
      <c r="E93" s="18">
        <f t="shared" si="12"/>
        <v>500</v>
      </c>
      <c r="F93" s="18">
        <v>0</v>
      </c>
      <c r="G93" s="23">
        <v>0</v>
      </c>
      <c r="H93" s="55">
        <f t="shared" si="9"/>
        <v>500</v>
      </c>
      <c r="I93" s="77"/>
    </row>
    <row r="94" spans="1:9" x14ac:dyDescent="0.25">
      <c r="A94" s="56">
        <v>61104</v>
      </c>
      <c r="B94" s="78" t="s">
        <v>77</v>
      </c>
      <c r="C94" s="23">
        <v>15055</v>
      </c>
      <c r="D94" s="23">
        <v>-9096.27</v>
      </c>
      <c r="E94" s="18">
        <f t="shared" si="12"/>
        <v>5958.73</v>
      </c>
      <c r="F94" s="18">
        <v>0</v>
      </c>
      <c r="G94" s="23">
        <v>0</v>
      </c>
      <c r="H94" s="55">
        <f t="shared" si="9"/>
        <v>5958.73</v>
      </c>
      <c r="I94" s="77"/>
    </row>
    <row r="95" spans="1:9" x14ac:dyDescent="0.25">
      <c r="A95" s="20">
        <v>61108</v>
      </c>
      <c r="B95" s="21" t="s">
        <v>42</v>
      </c>
      <c r="C95" s="22">
        <v>1000</v>
      </c>
      <c r="D95" s="22"/>
      <c r="E95" s="18">
        <f t="shared" si="12"/>
        <v>1000</v>
      </c>
      <c r="F95" s="18">
        <v>0</v>
      </c>
      <c r="G95" s="22">
        <v>0</v>
      </c>
      <c r="H95" s="55">
        <f t="shared" si="9"/>
        <v>1000</v>
      </c>
      <c r="I95" s="62"/>
    </row>
    <row r="96" spans="1:9" x14ac:dyDescent="0.25">
      <c r="A96" s="56"/>
      <c r="B96" s="26" t="s">
        <v>45</v>
      </c>
      <c r="C96" s="28">
        <f>SUM(C91:C95)</f>
        <v>36555</v>
      </c>
      <c r="D96" s="28">
        <f>SUM(D91:D95)</f>
        <v>-22606.78</v>
      </c>
      <c r="E96" s="28">
        <f>SUM(E91:E95)</f>
        <v>13948.22</v>
      </c>
      <c r="F96" s="28">
        <f>SUM(F91:F95)</f>
        <v>5282</v>
      </c>
      <c r="G96" s="28">
        <f>SUM(G95)</f>
        <v>0</v>
      </c>
      <c r="H96" s="57">
        <f t="shared" si="9"/>
        <v>8666.2199999999993</v>
      </c>
      <c r="I96" s="62"/>
    </row>
    <row r="97" spans="1:9" x14ac:dyDescent="0.25">
      <c r="A97" s="20">
        <v>61403</v>
      </c>
      <c r="B97" s="21" t="s">
        <v>78</v>
      </c>
      <c r="C97" s="22">
        <v>0</v>
      </c>
      <c r="D97" s="22"/>
      <c r="E97" s="18">
        <f>+C97+D97</f>
        <v>0</v>
      </c>
      <c r="F97" s="22">
        <v>0</v>
      </c>
      <c r="G97" s="22">
        <v>0</v>
      </c>
      <c r="H97" s="55">
        <f t="shared" si="9"/>
        <v>0</v>
      </c>
      <c r="I97" s="62"/>
    </row>
    <row r="98" spans="1:9" ht="15.75" thickBot="1" x14ac:dyDescent="0.3">
      <c r="A98" s="79"/>
      <c r="B98" s="80" t="s">
        <v>45</v>
      </c>
      <c r="C98" s="81">
        <f>+C97</f>
        <v>0</v>
      </c>
      <c r="D98" s="81">
        <f>+D97</f>
        <v>0</v>
      </c>
      <c r="E98" s="82">
        <f>+E97</f>
        <v>0</v>
      </c>
      <c r="F98" s="82">
        <f>+F97</f>
        <v>0</v>
      </c>
      <c r="G98" s="82">
        <f>SUM(G97)</f>
        <v>0</v>
      </c>
      <c r="H98" s="83">
        <f t="shared" si="9"/>
        <v>0</v>
      </c>
      <c r="I98" s="62"/>
    </row>
    <row r="99" spans="1:9" ht="15.75" thickBot="1" x14ac:dyDescent="0.3">
      <c r="A99" s="84"/>
      <c r="B99" s="85" t="s">
        <v>26</v>
      </c>
      <c r="C99" s="86">
        <f>+C96+C98</f>
        <v>36555</v>
      </c>
      <c r="D99" s="86">
        <f>+D98+D96</f>
        <v>-22606.78</v>
      </c>
      <c r="E99" s="87">
        <f>+E98+E96</f>
        <v>13948.22</v>
      </c>
      <c r="F99" s="88">
        <f>+F98+F96</f>
        <v>5282</v>
      </c>
      <c r="G99" s="89">
        <v>0</v>
      </c>
      <c r="H99" s="90">
        <f>+H98+H96</f>
        <v>8666.2199999999993</v>
      </c>
      <c r="I99" s="62"/>
    </row>
    <row r="100" spans="1:9" x14ac:dyDescent="0.25">
      <c r="A100" s="91"/>
      <c r="B100" s="92" t="s">
        <v>79</v>
      </c>
      <c r="C100" s="93">
        <f>+C99+C85+C79+C72+C24</f>
        <v>9475399</v>
      </c>
      <c r="D100" s="94">
        <f>+D99+D85+D79+D72+D24</f>
        <v>150000.00000000003</v>
      </c>
      <c r="E100" s="95">
        <f>+E24+E72+E79+E99+E85</f>
        <v>9625399</v>
      </c>
      <c r="F100" s="96">
        <f>+F24+F72+F79+F99+F85</f>
        <v>5616259.1399999987</v>
      </c>
      <c r="G100" s="97">
        <f>+G24+G72+G79+G99+G85</f>
        <v>304681.96999999997</v>
      </c>
      <c r="H100" s="98">
        <f>+E100-F100-G100</f>
        <v>3704457.8900000015</v>
      </c>
      <c r="I100" s="61"/>
    </row>
    <row r="101" spans="1:9" x14ac:dyDescent="0.25">
      <c r="C101" s="99"/>
      <c r="D101" s="100"/>
      <c r="E101" s="100"/>
      <c r="F101" s="100"/>
      <c r="G101" s="100"/>
      <c r="H101" s="61"/>
      <c r="I101" s="61"/>
    </row>
    <row r="102" spans="1:9" x14ac:dyDescent="0.25">
      <c r="C102" s="99"/>
      <c r="D102" s="100"/>
      <c r="E102" s="100"/>
      <c r="F102" s="100"/>
      <c r="G102" s="100"/>
      <c r="H102" s="61"/>
      <c r="I102" s="61"/>
    </row>
  </sheetData>
  <mergeCells count="5">
    <mergeCell ref="B2:I2"/>
    <mergeCell ref="B3:F3"/>
    <mergeCell ref="B4:F4"/>
    <mergeCell ref="A6:H6"/>
    <mergeCell ref="B7:H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"/>
  <sheetViews>
    <sheetView workbookViewId="0">
      <selection activeCell="C10" sqref="C10"/>
    </sheetView>
  </sheetViews>
  <sheetFormatPr baseColWidth="10" defaultRowHeight="15" x14ac:dyDescent="0.25"/>
  <cols>
    <col min="2" max="2" width="36.7109375" customWidth="1"/>
    <col min="3" max="3" width="15.42578125" customWidth="1"/>
    <col min="4" max="4" width="14.140625" customWidth="1"/>
    <col min="5" max="5" width="14.42578125" customWidth="1"/>
    <col min="6" max="6" width="14.140625" customWidth="1"/>
    <col min="7" max="7" width="15.28515625" customWidth="1"/>
    <col min="8" max="8" width="14.7109375" customWidth="1"/>
  </cols>
  <sheetData>
    <row r="1" spans="1:9" x14ac:dyDescent="0.25">
      <c r="C1" s="1"/>
    </row>
    <row r="2" spans="1:9" ht="15.75" x14ac:dyDescent="0.25">
      <c r="A2" s="2"/>
      <c r="B2" s="110" t="s">
        <v>0</v>
      </c>
      <c r="C2" s="110"/>
      <c r="D2" s="110"/>
      <c r="E2" s="110"/>
      <c r="F2" s="110"/>
      <c r="G2" s="110"/>
      <c r="H2" s="110"/>
      <c r="I2" s="110"/>
    </row>
    <row r="3" spans="1:9" x14ac:dyDescent="0.25">
      <c r="A3" s="2"/>
      <c r="B3" s="111" t="s">
        <v>1</v>
      </c>
      <c r="C3" s="111"/>
      <c r="D3" s="111"/>
      <c r="E3" s="111"/>
      <c r="F3" s="111"/>
      <c r="G3" s="3"/>
      <c r="H3" s="2"/>
      <c r="I3" s="2"/>
    </row>
    <row r="4" spans="1:9" x14ac:dyDescent="0.25">
      <c r="A4" s="4"/>
      <c r="B4" s="111" t="s">
        <v>2</v>
      </c>
      <c r="C4" s="111"/>
      <c r="D4" s="111"/>
      <c r="E4" s="111"/>
      <c r="F4" s="111"/>
      <c r="G4" s="3"/>
      <c r="H4" s="4"/>
      <c r="I4" s="2"/>
    </row>
    <row r="5" spans="1:9" x14ac:dyDescent="0.25">
      <c r="A5" s="4"/>
      <c r="B5" s="3"/>
      <c r="C5" s="5"/>
      <c r="D5" s="3"/>
      <c r="E5" s="3"/>
      <c r="F5" s="3"/>
      <c r="G5" s="3"/>
      <c r="H5" s="4"/>
      <c r="I5" s="2"/>
    </row>
    <row r="6" spans="1:9" x14ac:dyDescent="0.25">
      <c r="A6" s="112" t="s">
        <v>3</v>
      </c>
      <c r="B6" s="112"/>
      <c r="C6" s="112"/>
      <c r="D6" s="112"/>
      <c r="E6" s="112"/>
      <c r="F6" s="112"/>
      <c r="G6" s="112"/>
      <c r="H6" s="112"/>
      <c r="I6" s="2"/>
    </row>
    <row r="7" spans="1:9" ht="15.75" thickBot="1" x14ac:dyDescent="0.3">
      <c r="A7" s="6"/>
      <c r="B7" s="112" t="s">
        <v>4</v>
      </c>
      <c r="C7" s="112"/>
      <c r="D7" s="112"/>
      <c r="E7" s="112"/>
      <c r="F7" s="112"/>
      <c r="G7" s="112"/>
      <c r="H7" s="112"/>
      <c r="I7" s="2"/>
    </row>
    <row r="8" spans="1:9" ht="15.75" thickBot="1" x14ac:dyDescent="0.3">
      <c r="A8" s="7" t="s">
        <v>5</v>
      </c>
      <c r="B8" s="8" t="s">
        <v>6</v>
      </c>
      <c r="C8" s="9" t="s">
        <v>7</v>
      </c>
      <c r="D8" s="10" t="s">
        <v>8</v>
      </c>
      <c r="E8" s="11" t="s">
        <v>9</v>
      </c>
      <c r="F8" s="12" t="s">
        <v>10</v>
      </c>
      <c r="G8" s="13" t="s">
        <v>11</v>
      </c>
      <c r="H8" s="14" t="s">
        <v>12</v>
      </c>
      <c r="I8" s="15"/>
    </row>
    <row r="9" spans="1:9" x14ac:dyDescent="0.25">
      <c r="A9" s="16">
        <v>51101</v>
      </c>
      <c r="B9" s="17" t="s">
        <v>13</v>
      </c>
      <c r="C9" s="18">
        <v>4981600</v>
      </c>
      <c r="D9" s="18">
        <v>-84599.9</v>
      </c>
      <c r="E9" s="18">
        <f>+C9+D9</f>
        <v>4897000.0999999996</v>
      </c>
      <c r="F9" s="18">
        <v>3173567.78</v>
      </c>
      <c r="G9" s="18">
        <f>108552.84-46233.86</f>
        <v>62318.979999999996</v>
      </c>
      <c r="H9" s="19">
        <f t="shared" ref="H9:H74" si="0">+E9-F9-G9</f>
        <v>1661113.3399999999</v>
      </c>
    </row>
    <row r="10" spans="1:9" x14ac:dyDescent="0.25">
      <c r="A10" s="20">
        <v>51103</v>
      </c>
      <c r="B10" s="21" t="s">
        <v>14</v>
      </c>
      <c r="C10" s="22">
        <v>181800</v>
      </c>
      <c r="D10" s="18"/>
      <c r="E10" s="18">
        <f t="shared" ref="E10:E23" si="1">+C10+D10</f>
        <v>181800</v>
      </c>
      <c r="F10" s="18"/>
      <c r="G10" s="18">
        <v>0</v>
      </c>
      <c r="H10" s="19">
        <f t="shared" si="0"/>
        <v>181800</v>
      </c>
    </row>
    <row r="11" spans="1:9" x14ac:dyDescent="0.25">
      <c r="A11" s="20">
        <v>51107</v>
      </c>
      <c r="B11" s="21" t="s">
        <v>15</v>
      </c>
      <c r="C11" s="22">
        <v>0</v>
      </c>
      <c r="D11" s="22">
        <v>115919.88</v>
      </c>
      <c r="E11" s="18">
        <f t="shared" si="1"/>
        <v>115919.88</v>
      </c>
      <c r="F11" s="18">
        <v>114800</v>
      </c>
      <c r="G11" s="18">
        <v>1119.8800000000001</v>
      </c>
      <c r="H11" s="19">
        <f t="shared" si="0"/>
        <v>4.5474735088646412E-12</v>
      </c>
    </row>
    <row r="12" spans="1:9" x14ac:dyDescent="0.25">
      <c r="A12" s="20">
        <v>51201</v>
      </c>
      <c r="B12" s="21" t="s">
        <v>16</v>
      </c>
      <c r="C12" s="22">
        <v>1068700</v>
      </c>
      <c r="D12" s="23">
        <v>-40524.949999999997</v>
      </c>
      <c r="E12" s="18">
        <f t="shared" si="1"/>
        <v>1028175.05</v>
      </c>
      <c r="F12" s="18">
        <v>634274.65</v>
      </c>
      <c r="G12" s="18">
        <f>64168.46-27078.69</f>
        <v>37089.770000000004</v>
      </c>
      <c r="H12" s="19">
        <f t="shared" si="0"/>
        <v>356810.63</v>
      </c>
    </row>
    <row r="13" spans="1:9" x14ac:dyDescent="0.25">
      <c r="A13" s="20">
        <v>51203</v>
      </c>
      <c r="B13" s="21" t="s">
        <v>14</v>
      </c>
      <c r="C13" s="22">
        <v>30600</v>
      </c>
      <c r="D13" s="22"/>
      <c r="E13" s="18">
        <f t="shared" si="1"/>
        <v>30600</v>
      </c>
      <c r="F13" s="18"/>
      <c r="G13" s="18">
        <v>0</v>
      </c>
      <c r="H13" s="19">
        <f t="shared" si="0"/>
        <v>30600</v>
      </c>
    </row>
    <row r="14" spans="1:9" x14ac:dyDescent="0.25">
      <c r="A14" s="20">
        <v>51207</v>
      </c>
      <c r="B14" s="21" t="s">
        <v>15</v>
      </c>
      <c r="C14" s="22">
        <v>0</v>
      </c>
      <c r="D14" s="22">
        <v>18600</v>
      </c>
      <c r="E14" s="18">
        <f t="shared" si="1"/>
        <v>18600</v>
      </c>
      <c r="F14" s="18">
        <v>18600</v>
      </c>
      <c r="G14" s="18">
        <v>0</v>
      </c>
      <c r="H14" s="19">
        <f t="shared" si="0"/>
        <v>0</v>
      </c>
    </row>
    <row r="15" spans="1:9" x14ac:dyDescent="0.25">
      <c r="A15" s="20">
        <v>51401</v>
      </c>
      <c r="B15" s="21" t="s">
        <v>17</v>
      </c>
      <c r="C15" s="22">
        <v>331890</v>
      </c>
      <c r="D15" s="22">
        <v>-12555.71</v>
      </c>
      <c r="E15" s="18">
        <f t="shared" si="1"/>
        <v>319334.28999999998</v>
      </c>
      <c r="F15" s="18">
        <v>194299.81</v>
      </c>
      <c r="G15" s="18">
        <f>23813.42-9422.29</f>
        <v>14391.129999999997</v>
      </c>
      <c r="H15" s="19">
        <f t="shared" si="0"/>
        <v>110643.34999999998</v>
      </c>
    </row>
    <row r="16" spans="1:9" x14ac:dyDescent="0.25">
      <c r="A16" s="20">
        <v>51402</v>
      </c>
      <c r="B16" s="21" t="s">
        <v>18</v>
      </c>
      <c r="C16" s="22">
        <v>57985</v>
      </c>
      <c r="D16" s="22">
        <v>-2471.6</v>
      </c>
      <c r="E16" s="18">
        <f t="shared" si="1"/>
        <v>55513.4</v>
      </c>
      <c r="F16" s="18">
        <v>33230.720000000001</v>
      </c>
      <c r="G16" s="18">
        <f>4624.33-1797.45</f>
        <v>2826.88</v>
      </c>
      <c r="H16" s="19">
        <f t="shared" si="0"/>
        <v>19455.8</v>
      </c>
    </row>
    <row r="17" spans="1:8" x14ac:dyDescent="0.25">
      <c r="A17" s="20">
        <v>51501</v>
      </c>
      <c r="B17" s="21" t="s">
        <v>19</v>
      </c>
      <c r="C17" s="22">
        <v>320785</v>
      </c>
      <c r="D17" s="22">
        <v>34922.730000000003</v>
      </c>
      <c r="E17" s="18">
        <f t="shared" si="1"/>
        <v>355707.73</v>
      </c>
      <c r="F17" s="18">
        <v>215441.54</v>
      </c>
      <c r="G17" s="18">
        <f>27753.55-10984.72</f>
        <v>16768.830000000002</v>
      </c>
      <c r="H17" s="19">
        <f t="shared" si="0"/>
        <v>123497.35999999997</v>
      </c>
    </row>
    <row r="18" spans="1:8" x14ac:dyDescent="0.25">
      <c r="A18" s="20">
        <v>51502</v>
      </c>
      <c r="B18" s="21" t="s">
        <v>20</v>
      </c>
      <c r="C18" s="22">
        <v>72140</v>
      </c>
      <c r="D18" s="22">
        <v>6863.78</v>
      </c>
      <c r="E18" s="18">
        <f t="shared" si="1"/>
        <v>79003.78</v>
      </c>
      <c r="F18" s="18">
        <v>46664.08</v>
      </c>
      <c r="G18" s="18">
        <f>7422.89-2844.52</f>
        <v>4578.3700000000008</v>
      </c>
      <c r="H18" s="19">
        <f t="shared" si="0"/>
        <v>27761.329999999994</v>
      </c>
    </row>
    <row r="19" spans="1:8" x14ac:dyDescent="0.25">
      <c r="A19" s="20">
        <v>51601</v>
      </c>
      <c r="B19" s="21" t="s">
        <v>21</v>
      </c>
      <c r="C19" s="22">
        <v>46625</v>
      </c>
      <c r="D19" s="22">
        <v>4.12</v>
      </c>
      <c r="E19" s="18">
        <f t="shared" si="1"/>
        <v>46629.120000000003</v>
      </c>
      <c r="F19" s="18">
        <v>29978.7</v>
      </c>
      <c r="G19" s="18">
        <v>1103.69</v>
      </c>
      <c r="H19" s="19">
        <f t="shared" si="0"/>
        <v>15546.730000000001</v>
      </c>
    </row>
    <row r="20" spans="1:8" x14ac:dyDescent="0.25">
      <c r="A20" s="20">
        <v>51701</v>
      </c>
      <c r="B20" s="21" t="s">
        <v>22</v>
      </c>
      <c r="C20" s="22">
        <v>54989</v>
      </c>
      <c r="D20" s="22">
        <v>-6466.49</v>
      </c>
      <c r="E20" s="18">
        <f t="shared" si="1"/>
        <v>48522.51</v>
      </c>
      <c r="F20" s="18">
        <v>47132.97</v>
      </c>
      <c r="G20" s="18">
        <f>1400.69-11.15</f>
        <v>1389.54</v>
      </c>
      <c r="H20" s="19">
        <f t="shared" si="0"/>
        <v>0</v>
      </c>
    </row>
    <row r="21" spans="1:8" x14ac:dyDescent="0.25">
      <c r="A21" s="20">
        <v>51702</v>
      </c>
      <c r="B21" s="21" t="s">
        <v>23</v>
      </c>
      <c r="C21" s="22"/>
      <c r="D21" s="22">
        <v>6455.34</v>
      </c>
      <c r="E21" s="18">
        <f t="shared" si="1"/>
        <v>6455.34</v>
      </c>
      <c r="F21" s="18">
        <v>6335.19</v>
      </c>
      <c r="G21" s="18">
        <v>120.15</v>
      </c>
      <c r="H21" s="19">
        <f t="shared" si="0"/>
        <v>5.4001247917767614E-13</v>
      </c>
    </row>
    <row r="22" spans="1:8" x14ac:dyDescent="0.25">
      <c r="A22" s="20">
        <v>51903</v>
      </c>
      <c r="B22" s="21" t="s">
        <v>24</v>
      </c>
      <c r="C22" s="22">
        <v>71895</v>
      </c>
      <c r="D22" s="22">
        <v>-9079.5499999999993</v>
      </c>
      <c r="E22" s="18">
        <f t="shared" si="1"/>
        <v>62815.45</v>
      </c>
      <c r="F22" s="18">
        <v>41219.449999999997</v>
      </c>
      <c r="G22" s="18">
        <f>10154.67-9459.67</f>
        <v>695</v>
      </c>
      <c r="H22" s="19">
        <f t="shared" si="0"/>
        <v>20901</v>
      </c>
    </row>
    <row r="23" spans="1:8" x14ac:dyDescent="0.25">
      <c r="A23" s="20">
        <v>51999</v>
      </c>
      <c r="B23" s="21" t="s">
        <v>25</v>
      </c>
      <c r="C23" s="22">
        <v>17000</v>
      </c>
      <c r="D23" s="22"/>
      <c r="E23" s="18">
        <f t="shared" si="1"/>
        <v>17000</v>
      </c>
      <c r="F23" s="18"/>
      <c r="G23" s="24">
        <v>0</v>
      </c>
      <c r="H23" s="19">
        <f t="shared" si="0"/>
        <v>17000</v>
      </c>
    </row>
    <row r="24" spans="1:8" x14ac:dyDescent="0.25">
      <c r="A24" s="25"/>
      <c r="B24" s="26" t="s">
        <v>26</v>
      </c>
      <c r="C24" s="27">
        <f t="shared" ref="C24:H24" si="2">SUM(C9:C23)</f>
        <v>7236009</v>
      </c>
      <c r="D24" s="28">
        <f t="shared" si="2"/>
        <v>27067.650000000027</v>
      </c>
      <c r="E24" s="29">
        <f t="shared" si="2"/>
        <v>7263076.6499999994</v>
      </c>
      <c r="F24" s="30">
        <f t="shared" si="2"/>
        <v>4555544.8900000006</v>
      </c>
      <c r="G24" s="31">
        <f t="shared" si="2"/>
        <v>142402.22000000003</v>
      </c>
      <c r="H24" s="32">
        <f t="shared" si="2"/>
        <v>2565129.5399999996</v>
      </c>
    </row>
    <row r="25" spans="1:8" x14ac:dyDescent="0.25">
      <c r="A25" s="20">
        <v>54101</v>
      </c>
      <c r="B25" s="21" t="s">
        <v>27</v>
      </c>
      <c r="C25" s="22">
        <v>52905</v>
      </c>
      <c r="D25" s="22">
        <v>23934.84</v>
      </c>
      <c r="E25" s="18">
        <f t="shared" ref="E25:E42" si="3">+C25+D25</f>
        <v>76839.839999999997</v>
      </c>
      <c r="F25" s="18">
        <v>63306.21</v>
      </c>
      <c r="G25" s="18">
        <v>8110.53</v>
      </c>
      <c r="H25" s="19">
        <f t="shared" si="0"/>
        <v>5423.0999999999976</v>
      </c>
    </row>
    <row r="26" spans="1:8" x14ac:dyDescent="0.25">
      <c r="A26" s="20">
        <v>54103</v>
      </c>
      <c r="B26" s="21" t="s">
        <v>28</v>
      </c>
      <c r="C26" s="22">
        <v>1000</v>
      </c>
      <c r="D26" s="22">
        <v>-420.97</v>
      </c>
      <c r="E26" s="18">
        <f t="shared" si="3"/>
        <v>579.03</v>
      </c>
      <c r="F26" s="18">
        <v>133.03</v>
      </c>
      <c r="G26" s="18">
        <v>446</v>
      </c>
      <c r="H26" s="19">
        <f t="shared" si="0"/>
        <v>0</v>
      </c>
    </row>
    <row r="27" spans="1:8" x14ac:dyDescent="0.25">
      <c r="A27" s="20">
        <v>54104</v>
      </c>
      <c r="B27" s="21" t="s">
        <v>29</v>
      </c>
      <c r="C27" s="22">
        <v>53150</v>
      </c>
      <c r="D27" s="22">
        <v>-1720</v>
      </c>
      <c r="E27" s="18">
        <f t="shared" si="3"/>
        <v>51430</v>
      </c>
      <c r="F27" s="18">
        <v>40015.730000000003</v>
      </c>
      <c r="G27" s="18">
        <v>4164.3</v>
      </c>
      <c r="H27" s="19">
        <f t="shared" si="0"/>
        <v>7249.9699999999966</v>
      </c>
    </row>
    <row r="28" spans="1:8" x14ac:dyDescent="0.25">
      <c r="A28" s="20">
        <v>54105</v>
      </c>
      <c r="B28" s="21" t="s">
        <v>30</v>
      </c>
      <c r="C28" s="22">
        <v>17135</v>
      </c>
      <c r="D28" s="22">
        <v>4647.3599999999997</v>
      </c>
      <c r="E28" s="18">
        <f t="shared" si="3"/>
        <v>21782.36</v>
      </c>
      <c r="F28" s="18">
        <v>17185.97</v>
      </c>
      <c r="G28" s="18">
        <v>596.39</v>
      </c>
      <c r="H28" s="19">
        <f t="shared" si="0"/>
        <v>3999.9999999999995</v>
      </c>
    </row>
    <row r="29" spans="1:8" x14ac:dyDescent="0.25">
      <c r="A29" s="20">
        <v>54106</v>
      </c>
      <c r="B29" s="21" t="s">
        <v>31</v>
      </c>
      <c r="C29" s="22">
        <v>150</v>
      </c>
      <c r="D29" s="22">
        <v>87</v>
      </c>
      <c r="E29" s="18">
        <f t="shared" si="3"/>
        <v>237</v>
      </c>
      <c r="F29" s="18">
        <v>237</v>
      </c>
      <c r="G29" s="18">
        <v>0</v>
      </c>
      <c r="H29" s="19">
        <f t="shared" si="0"/>
        <v>0</v>
      </c>
    </row>
    <row r="30" spans="1:8" x14ac:dyDescent="0.25">
      <c r="A30" s="20">
        <v>54107</v>
      </c>
      <c r="B30" s="21" t="s">
        <v>32</v>
      </c>
      <c r="C30" s="22">
        <v>10800</v>
      </c>
      <c r="D30" s="22">
        <v>2034.32</v>
      </c>
      <c r="E30" s="18">
        <f t="shared" si="3"/>
        <v>12834.32</v>
      </c>
      <c r="F30" s="18">
        <v>11088.99</v>
      </c>
      <c r="G30" s="18">
        <v>995.33</v>
      </c>
      <c r="H30" s="19">
        <f t="shared" si="0"/>
        <v>749.99999999999989</v>
      </c>
    </row>
    <row r="31" spans="1:8" x14ac:dyDescent="0.25">
      <c r="A31" s="20">
        <v>54108</v>
      </c>
      <c r="B31" s="21" t="s">
        <v>33</v>
      </c>
      <c r="C31" s="22">
        <v>15000</v>
      </c>
      <c r="D31" s="22">
        <v>481.4</v>
      </c>
      <c r="E31" s="18">
        <f t="shared" si="3"/>
        <v>15481.4</v>
      </c>
      <c r="F31" s="18">
        <v>8481.4</v>
      </c>
      <c r="G31" s="18">
        <v>0</v>
      </c>
      <c r="H31" s="19">
        <f t="shared" si="0"/>
        <v>7000</v>
      </c>
    </row>
    <row r="32" spans="1:8" x14ac:dyDescent="0.25">
      <c r="A32" s="20">
        <v>54109</v>
      </c>
      <c r="B32" s="21" t="s">
        <v>34</v>
      </c>
      <c r="C32" s="22">
        <v>4000</v>
      </c>
      <c r="D32" s="22"/>
      <c r="E32" s="18">
        <f t="shared" si="3"/>
        <v>4000</v>
      </c>
      <c r="F32" s="18">
        <v>1464.72</v>
      </c>
      <c r="G32" s="18">
        <v>535.28</v>
      </c>
      <c r="H32" s="19">
        <f t="shared" si="0"/>
        <v>1999.9999999999998</v>
      </c>
    </row>
    <row r="33" spans="1:8" x14ac:dyDescent="0.25">
      <c r="A33" s="20">
        <v>54110</v>
      </c>
      <c r="B33" s="21" t="s">
        <v>35</v>
      </c>
      <c r="C33" s="22">
        <v>20025</v>
      </c>
      <c r="D33" s="22">
        <v>16.55</v>
      </c>
      <c r="E33" s="18">
        <f t="shared" si="3"/>
        <v>20041.55</v>
      </c>
      <c r="F33" s="18">
        <v>37.549999999999997</v>
      </c>
      <c r="G33" s="18">
        <v>20004</v>
      </c>
      <c r="H33" s="19">
        <f t="shared" si="0"/>
        <v>0</v>
      </c>
    </row>
    <row r="34" spans="1:8" x14ac:dyDescent="0.25">
      <c r="A34" s="20">
        <v>54111</v>
      </c>
      <c r="B34" s="21" t="s">
        <v>36</v>
      </c>
      <c r="C34" s="22">
        <v>400</v>
      </c>
      <c r="D34" s="22">
        <v>-222.41</v>
      </c>
      <c r="E34" s="18">
        <f t="shared" si="3"/>
        <v>177.59</v>
      </c>
      <c r="F34" s="18">
        <v>177.59</v>
      </c>
      <c r="G34" s="18">
        <v>0</v>
      </c>
      <c r="H34" s="19">
        <f t="shared" si="0"/>
        <v>0</v>
      </c>
    </row>
    <row r="35" spans="1:8" x14ac:dyDescent="0.25">
      <c r="A35" s="20">
        <v>54112</v>
      </c>
      <c r="B35" s="21" t="s">
        <v>37</v>
      </c>
      <c r="C35" s="22">
        <v>1400</v>
      </c>
      <c r="D35" s="22">
        <v>1418.32</v>
      </c>
      <c r="E35" s="18">
        <f t="shared" si="3"/>
        <v>2818.3199999999997</v>
      </c>
      <c r="F35" s="18">
        <v>2044.41</v>
      </c>
      <c r="G35" s="18">
        <v>773.91</v>
      </c>
      <c r="H35" s="19">
        <f t="shared" si="0"/>
        <v>0</v>
      </c>
    </row>
    <row r="36" spans="1:8" x14ac:dyDescent="0.25">
      <c r="A36" s="20">
        <v>54113</v>
      </c>
      <c r="B36" s="21" t="s">
        <v>38</v>
      </c>
      <c r="C36" s="22">
        <v>900</v>
      </c>
      <c r="D36" s="22">
        <v>-481.4</v>
      </c>
      <c r="E36" s="18">
        <f t="shared" si="3"/>
        <v>418.6</v>
      </c>
      <c r="F36" s="18">
        <v>15</v>
      </c>
      <c r="G36" s="18">
        <v>53.6</v>
      </c>
      <c r="H36" s="19">
        <f t="shared" si="0"/>
        <v>350</v>
      </c>
    </row>
    <row r="37" spans="1:8" x14ac:dyDescent="0.25">
      <c r="A37" s="20">
        <v>54114</v>
      </c>
      <c r="B37" s="21" t="s">
        <v>39</v>
      </c>
      <c r="C37" s="22">
        <v>5425</v>
      </c>
      <c r="D37" s="22">
        <v>-371.64</v>
      </c>
      <c r="E37" s="18">
        <f t="shared" si="3"/>
        <v>5053.3599999999997</v>
      </c>
      <c r="F37" s="18">
        <v>4961.38</v>
      </c>
      <c r="G37" s="18">
        <v>91.98</v>
      </c>
      <c r="H37" s="19">
        <f t="shared" si="0"/>
        <v>-4.4053649617126212E-13</v>
      </c>
    </row>
    <row r="38" spans="1:8" x14ac:dyDescent="0.25">
      <c r="A38" s="20">
        <v>54115</v>
      </c>
      <c r="B38" s="21" t="s">
        <v>40</v>
      </c>
      <c r="C38" s="22">
        <v>12000</v>
      </c>
      <c r="D38" s="22">
        <v>12</v>
      </c>
      <c r="E38" s="18">
        <f t="shared" si="3"/>
        <v>12012</v>
      </c>
      <c r="F38" s="18">
        <v>9410.7199999999993</v>
      </c>
      <c r="G38" s="18">
        <v>2601.2800000000002</v>
      </c>
      <c r="H38" s="19">
        <f t="shared" si="0"/>
        <v>0</v>
      </c>
    </row>
    <row r="39" spans="1:8" x14ac:dyDescent="0.25">
      <c r="A39" s="20">
        <v>54116</v>
      </c>
      <c r="B39" s="21" t="s">
        <v>41</v>
      </c>
      <c r="C39" s="22">
        <v>600</v>
      </c>
      <c r="D39" s="22">
        <v>35</v>
      </c>
      <c r="E39" s="18">
        <f t="shared" si="3"/>
        <v>635</v>
      </c>
      <c r="F39" s="18">
        <v>494.3</v>
      </c>
      <c r="G39" s="18">
        <v>140.69999999999999</v>
      </c>
      <c r="H39" s="19">
        <f t="shared" si="0"/>
        <v>0</v>
      </c>
    </row>
    <row r="40" spans="1:8" x14ac:dyDescent="0.25">
      <c r="A40" s="20">
        <v>54118</v>
      </c>
      <c r="B40" s="21" t="s">
        <v>42</v>
      </c>
      <c r="C40" s="22">
        <v>1750</v>
      </c>
      <c r="D40" s="22">
        <v>1138.45</v>
      </c>
      <c r="E40" s="18">
        <f t="shared" si="3"/>
        <v>2888.45</v>
      </c>
      <c r="F40" s="18">
        <v>1172.58</v>
      </c>
      <c r="G40" s="18">
        <v>365.87</v>
      </c>
      <c r="H40" s="19">
        <f t="shared" si="0"/>
        <v>1350</v>
      </c>
    </row>
    <row r="41" spans="1:8" x14ac:dyDescent="0.25">
      <c r="A41" s="20">
        <v>54119</v>
      </c>
      <c r="B41" s="21" t="s">
        <v>43</v>
      </c>
      <c r="C41" s="22">
        <v>2000</v>
      </c>
      <c r="D41" s="22">
        <v>896.61</v>
      </c>
      <c r="E41" s="18">
        <f t="shared" si="3"/>
        <v>2896.61</v>
      </c>
      <c r="F41" s="18">
        <v>2391.19</v>
      </c>
      <c r="G41" s="18">
        <v>5.42</v>
      </c>
      <c r="H41" s="19">
        <f t="shared" si="0"/>
        <v>500.00000000000006</v>
      </c>
    </row>
    <row r="42" spans="1:8" ht="15.75" thickBot="1" x14ac:dyDescent="0.3">
      <c r="A42" s="33">
        <v>54199</v>
      </c>
      <c r="B42" s="34" t="s">
        <v>44</v>
      </c>
      <c r="C42" s="35">
        <v>479395</v>
      </c>
      <c r="D42" s="35">
        <v>-31765.71</v>
      </c>
      <c r="E42" s="18">
        <f t="shared" si="3"/>
        <v>447629.29</v>
      </c>
      <c r="F42" s="18">
        <v>411115.29</v>
      </c>
      <c r="G42" s="18">
        <v>10803.59</v>
      </c>
      <c r="H42" s="36">
        <f t="shared" si="0"/>
        <v>25710.41</v>
      </c>
    </row>
    <row r="43" spans="1:8" ht="15.75" thickBot="1" x14ac:dyDescent="0.3">
      <c r="A43" s="37"/>
      <c r="B43" s="38" t="s">
        <v>45</v>
      </c>
      <c r="C43" s="39">
        <f>SUM(C25:C42)</f>
        <v>678035</v>
      </c>
      <c r="D43" s="39">
        <f>SUM(D25:D42)</f>
        <v>-280.27999999999884</v>
      </c>
      <c r="E43" s="39">
        <f>SUM(E25:E42)</f>
        <v>677754.72</v>
      </c>
      <c r="F43" s="39">
        <f>SUM(F25:F42)</f>
        <v>573733.05999999994</v>
      </c>
      <c r="G43" s="39">
        <f>SUM(G25:G42)</f>
        <v>49688.180000000008</v>
      </c>
      <c r="H43" s="40">
        <f t="shared" si="0"/>
        <v>54333.480000000025</v>
      </c>
    </row>
    <row r="44" spans="1:8" x14ac:dyDescent="0.25">
      <c r="A44" s="41"/>
      <c r="B44" s="42"/>
      <c r="C44" s="43"/>
      <c r="D44" s="44"/>
      <c r="E44" s="44"/>
      <c r="F44" s="44"/>
      <c r="G44" s="44"/>
      <c r="H44" s="45"/>
    </row>
    <row r="45" spans="1:8" x14ac:dyDescent="0.25">
      <c r="A45" s="41"/>
      <c r="B45" s="42"/>
      <c r="C45" s="43"/>
      <c r="D45" s="44"/>
      <c r="E45" s="44"/>
      <c r="F45" s="44"/>
      <c r="G45" s="44"/>
      <c r="H45" s="45"/>
    </row>
    <row r="46" spans="1:8" ht="15.75" thickBot="1" x14ac:dyDescent="0.3">
      <c r="A46" s="41"/>
      <c r="B46" s="42"/>
      <c r="C46" s="43"/>
      <c r="D46" s="44"/>
      <c r="E46" s="44"/>
      <c r="F46" s="44"/>
      <c r="G46" s="44"/>
      <c r="H46" s="45"/>
    </row>
    <row r="47" spans="1:8" ht="15.75" thickBot="1" x14ac:dyDescent="0.3">
      <c r="A47" s="7" t="s">
        <v>5</v>
      </c>
      <c r="B47" s="8" t="s">
        <v>6</v>
      </c>
      <c r="C47" s="46" t="s">
        <v>7</v>
      </c>
      <c r="D47" s="10" t="s">
        <v>8</v>
      </c>
      <c r="E47" s="47" t="s">
        <v>46</v>
      </c>
      <c r="F47" s="48" t="s">
        <v>10</v>
      </c>
      <c r="G47" s="49" t="s">
        <v>11</v>
      </c>
      <c r="H47" s="50" t="s">
        <v>12</v>
      </c>
    </row>
    <row r="48" spans="1:8" x14ac:dyDescent="0.25">
      <c r="A48" s="51">
        <v>54201</v>
      </c>
      <c r="B48" s="52" t="s">
        <v>47</v>
      </c>
      <c r="C48" s="53">
        <v>191255</v>
      </c>
      <c r="D48" s="53">
        <v>-7359.19</v>
      </c>
      <c r="E48" s="18">
        <f t="shared" ref="E48:E51" si="4">+C48+D48</f>
        <v>183895.81</v>
      </c>
      <c r="F48" s="18">
        <v>98757.67</v>
      </c>
      <c r="G48" s="18">
        <f>21312.98-3698.3</f>
        <v>17614.68</v>
      </c>
      <c r="H48" s="54">
        <f t="shared" si="0"/>
        <v>67523.459999999992</v>
      </c>
    </row>
    <row r="49" spans="1:8" x14ac:dyDescent="0.25">
      <c r="A49" s="20">
        <v>54202</v>
      </c>
      <c r="B49" s="21" t="s">
        <v>48</v>
      </c>
      <c r="C49" s="22">
        <v>43800</v>
      </c>
      <c r="D49" s="22">
        <v>377.26</v>
      </c>
      <c r="E49" s="18">
        <f t="shared" si="4"/>
        <v>44177.26</v>
      </c>
      <c r="F49" s="18">
        <v>14429.15</v>
      </c>
      <c r="G49" s="18">
        <v>11688.79</v>
      </c>
      <c r="H49" s="19">
        <f t="shared" si="0"/>
        <v>18059.32</v>
      </c>
    </row>
    <row r="50" spans="1:8" x14ac:dyDescent="0.25">
      <c r="A50" s="33">
        <v>54203</v>
      </c>
      <c r="B50" s="34" t="s">
        <v>49</v>
      </c>
      <c r="C50" s="35">
        <v>188800</v>
      </c>
      <c r="D50" s="35">
        <v>-24171.48</v>
      </c>
      <c r="E50" s="18">
        <f t="shared" si="4"/>
        <v>164628.51999999999</v>
      </c>
      <c r="F50" s="18">
        <v>96964.28</v>
      </c>
      <c r="G50" s="18">
        <f>39368.84-23369.35</f>
        <v>15999.489999999998</v>
      </c>
      <c r="H50" s="36">
        <f t="shared" si="0"/>
        <v>51664.749999999993</v>
      </c>
    </row>
    <row r="51" spans="1:8" x14ac:dyDescent="0.25">
      <c r="A51" s="20">
        <v>54204</v>
      </c>
      <c r="B51" s="21" t="s">
        <v>50</v>
      </c>
      <c r="C51" s="22">
        <v>1200</v>
      </c>
      <c r="D51" s="22"/>
      <c r="E51" s="18">
        <f t="shared" si="4"/>
        <v>1200</v>
      </c>
      <c r="F51" s="18">
        <v>25.43</v>
      </c>
      <c r="G51" s="18">
        <v>600</v>
      </c>
      <c r="H51" s="55">
        <f t="shared" si="0"/>
        <v>574.56999999999994</v>
      </c>
    </row>
    <row r="52" spans="1:8" x14ac:dyDescent="0.25">
      <c r="A52" s="56"/>
      <c r="B52" s="26" t="s">
        <v>45</v>
      </c>
      <c r="C52" s="28">
        <f>SUM(C48:C51)</f>
        <v>425055</v>
      </c>
      <c r="D52" s="28">
        <f>SUM(D48:D51)</f>
        <v>-31153.41</v>
      </c>
      <c r="E52" s="28">
        <f>SUM(E48:E51)</f>
        <v>393901.58999999997</v>
      </c>
      <c r="F52" s="28">
        <f>SUM(F48:F51)</f>
        <v>210176.52999999997</v>
      </c>
      <c r="G52" s="28">
        <f>SUM(G48:G51)</f>
        <v>45902.96</v>
      </c>
      <c r="H52" s="57">
        <f t="shared" si="0"/>
        <v>137822.1</v>
      </c>
    </row>
    <row r="53" spans="1:8" x14ac:dyDescent="0.25">
      <c r="A53" s="20">
        <v>54301</v>
      </c>
      <c r="B53" s="21" t="s">
        <v>51</v>
      </c>
      <c r="C53" s="22">
        <v>35000</v>
      </c>
      <c r="D53" s="22">
        <v>-465</v>
      </c>
      <c r="E53" s="18">
        <f t="shared" ref="E53:E63" si="5">+C53+D53</f>
        <v>34535</v>
      </c>
      <c r="F53" s="18">
        <v>20439.02</v>
      </c>
      <c r="G53" s="18">
        <v>8352.58</v>
      </c>
      <c r="H53" s="55">
        <f t="shared" si="0"/>
        <v>5743.4</v>
      </c>
    </row>
    <row r="54" spans="1:8" x14ac:dyDescent="0.25">
      <c r="A54" s="16">
        <v>54302</v>
      </c>
      <c r="B54" s="17" t="s">
        <v>52</v>
      </c>
      <c r="C54" s="18">
        <v>63000</v>
      </c>
      <c r="D54" s="18">
        <v>68.06</v>
      </c>
      <c r="E54" s="18">
        <f t="shared" si="5"/>
        <v>63068.06</v>
      </c>
      <c r="F54" s="18">
        <v>46403.58</v>
      </c>
      <c r="G54" s="18">
        <v>11110.52</v>
      </c>
      <c r="H54" s="19">
        <f t="shared" si="0"/>
        <v>5553.9599999999955</v>
      </c>
    </row>
    <row r="55" spans="1:8" x14ac:dyDescent="0.25">
      <c r="A55" s="20">
        <v>54304</v>
      </c>
      <c r="B55" s="21" t="s">
        <v>53</v>
      </c>
      <c r="C55" s="22">
        <v>2000</v>
      </c>
      <c r="D55" s="22">
        <v>-128.58000000000001</v>
      </c>
      <c r="E55" s="18">
        <f t="shared" si="5"/>
        <v>1871.42</v>
      </c>
      <c r="F55" s="18">
        <v>155.55000000000001</v>
      </c>
      <c r="G55" s="18">
        <v>715.87</v>
      </c>
      <c r="H55" s="55">
        <f t="shared" si="0"/>
        <v>1000.0000000000001</v>
      </c>
    </row>
    <row r="56" spans="1:8" x14ac:dyDescent="0.25">
      <c r="A56" s="20">
        <v>54305</v>
      </c>
      <c r="B56" s="21" t="s">
        <v>54</v>
      </c>
      <c r="C56" s="22">
        <v>74200</v>
      </c>
      <c r="D56" s="22">
        <v>-10084.76</v>
      </c>
      <c r="E56" s="18">
        <f t="shared" si="5"/>
        <v>64115.24</v>
      </c>
      <c r="F56" s="18">
        <v>1021.25</v>
      </c>
      <c r="G56" s="18">
        <v>32334.99</v>
      </c>
      <c r="H56" s="55">
        <f t="shared" si="0"/>
        <v>30758.999999999996</v>
      </c>
    </row>
    <row r="57" spans="1:8" x14ac:dyDescent="0.25">
      <c r="A57" s="20">
        <v>54307</v>
      </c>
      <c r="B57" s="21" t="s">
        <v>55</v>
      </c>
      <c r="C57" s="22">
        <v>13000</v>
      </c>
      <c r="D57" s="22">
        <v>-1246</v>
      </c>
      <c r="E57" s="18">
        <f t="shared" si="5"/>
        <v>11754</v>
      </c>
      <c r="F57" s="18">
        <v>6087.36</v>
      </c>
      <c r="G57" s="18">
        <v>3010.32</v>
      </c>
      <c r="H57" s="55">
        <f t="shared" si="0"/>
        <v>2656.32</v>
      </c>
    </row>
    <row r="58" spans="1:8" x14ac:dyDescent="0.25">
      <c r="A58" s="20">
        <v>54308</v>
      </c>
      <c r="B58" s="21" t="s">
        <v>56</v>
      </c>
      <c r="C58" s="22">
        <v>0</v>
      </c>
      <c r="D58" s="22">
        <v>1266</v>
      </c>
      <c r="E58" s="18">
        <f t="shared" si="5"/>
        <v>1266</v>
      </c>
      <c r="F58" s="18">
        <v>1266</v>
      </c>
      <c r="G58" s="18">
        <v>0</v>
      </c>
      <c r="H58" s="55">
        <f t="shared" si="0"/>
        <v>0</v>
      </c>
    </row>
    <row r="59" spans="1:8" x14ac:dyDescent="0.25">
      <c r="A59" s="20">
        <v>54313</v>
      </c>
      <c r="B59" s="21" t="s">
        <v>57</v>
      </c>
      <c r="C59" s="22">
        <v>33900</v>
      </c>
      <c r="D59" s="22">
        <v>-3338.38</v>
      </c>
      <c r="E59" s="18">
        <f t="shared" si="5"/>
        <v>30561.62</v>
      </c>
      <c r="F59" s="18">
        <v>7995.3</v>
      </c>
      <c r="G59" s="18">
        <v>12284.52</v>
      </c>
      <c r="H59" s="55">
        <f t="shared" si="0"/>
        <v>10281.799999999999</v>
      </c>
    </row>
    <row r="60" spans="1:8" x14ac:dyDescent="0.25">
      <c r="A60" s="20">
        <v>54314</v>
      </c>
      <c r="B60" s="21" t="s">
        <v>58</v>
      </c>
      <c r="C60" s="22">
        <v>47000</v>
      </c>
      <c r="D60" s="22">
        <v>7221.11</v>
      </c>
      <c r="E60" s="18">
        <f t="shared" si="5"/>
        <v>54221.11</v>
      </c>
      <c r="F60" s="18">
        <v>7447.11</v>
      </c>
      <c r="G60" s="18">
        <v>10798</v>
      </c>
      <c r="H60" s="55">
        <f t="shared" si="0"/>
        <v>35976</v>
      </c>
    </row>
    <row r="61" spans="1:8" x14ac:dyDescent="0.25">
      <c r="A61" s="20">
        <v>54316</v>
      </c>
      <c r="B61" s="21" t="s">
        <v>59</v>
      </c>
      <c r="C61" s="22">
        <v>24000</v>
      </c>
      <c r="D61" s="22"/>
      <c r="E61" s="18">
        <f t="shared" si="5"/>
        <v>24000</v>
      </c>
      <c r="F61" s="18">
        <v>22159.06</v>
      </c>
      <c r="G61" s="18">
        <v>1767.2</v>
      </c>
      <c r="H61" s="55">
        <f t="shared" si="0"/>
        <v>73.739999999998645</v>
      </c>
    </row>
    <row r="62" spans="1:8" x14ac:dyDescent="0.25">
      <c r="A62" s="20">
        <v>54317</v>
      </c>
      <c r="B62" s="21" t="s">
        <v>60</v>
      </c>
      <c r="C62" s="22">
        <v>584880</v>
      </c>
      <c r="D62" s="22"/>
      <c r="E62" s="18">
        <f t="shared" si="5"/>
        <v>584880</v>
      </c>
      <c r="F62" s="18">
        <v>584872.92000000004</v>
      </c>
      <c r="G62" s="18">
        <v>3.54</v>
      </c>
      <c r="H62" s="55">
        <f t="shared" si="0"/>
        <v>3.5399999999580904</v>
      </c>
    </row>
    <row r="63" spans="1:8" x14ac:dyDescent="0.25">
      <c r="A63" s="20">
        <v>54399</v>
      </c>
      <c r="B63" s="21" t="s">
        <v>61</v>
      </c>
      <c r="C63" s="22">
        <v>49280</v>
      </c>
      <c r="D63" s="22">
        <v>154754.46</v>
      </c>
      <c r="E63" s="18">
        <f t="shared" si="5"/>
        <v>204034.46</v>
      </c>
      <c r="F63" s="18">
        <v>41246.46</v>
      </c>
      <c r="G63" s="18">
        <v>2869</v>
      </c>
      <c r="H63" s="55">
        <f t="shared" si="0"/>
        <v>159919</v>
      </c>
    </row>
    <row r="64" spans="1:8" x14ac:dyDescent="0.25">
      <c r="A64" s="56"/>
      <c r="B64" s="26" t="s">
        <v>45</v>
      </c>
      <c r="C64" s="28">
        <f>SUM(C53:C63)</f>
        <v>926260</v>
      </c>
      <c r="D64" s="28">
        <f>SUM(D53:D63)</f>
        <v>148046.91</v>
      </c>
      <c r="E64" s="28">
        <f>SUM(E53:E63)</f>
        <v>1074306.9099999999</v>
      </c>
      <c r="F64" s="28">
        <f>SUM(F53:F63)</f>
        <v>739093.61</v>
      </c>
      <c r="G64" s="28">
        <f>SUM(G53:G63)</f>
        <v>83246.539999999994</v>
      </c>
      <c r="H64" s="57">
        <f t="shared" si="0"/>
        <v>251966.75999999995</v>
      </c>
    </row>
    <row r="65" spans="1:9" x14ac:dyDescent="0.25">
      <c r="A65" s="20">
        <v>54402</v>
      </c>
      <c r="B65" s="21" t="s">
        <v>62</v>
      </c>
      <c r="C65" s="22">
        <v>8000</v>
      </c>
      <c r="D65" s="22">
        <v>284.13</v>
      </c>
      <c r="E65" s="18">
        <f t="shared" ref="E65:E67" si="6">+C65+D65</f>
        <v>8284.1299999999992</v>
      </c>
      <c r="F65" s="18">
        <v>4284.13</v>
      </c>
      <c r="G65" s="22">
        <v>0</v>
      </c>
      <c r="H65" s="55">
        <f t="shared" si="0"/>
        <v>3999.9999999999991</v>
      </c>
    </row>
    <row r="66" spans="1:9" x14ac:dyDescent="0.25">
      <c r="A66" s="20">
        <v>54403</v>
      </c>
      <c r="B66" s="21" t="s">
        <v>63</v>
      </c>
      <c r="C66" s="22">
        <v>11460</v>
      </c>
      <c r="D66" s="22"/>
      <c r="E66" s="18">
        <f t="shared" si="6"/>
        <v>11460</v>
      </c>
      <c r="F66" s="18">
        <v>4257</v>
      </c>
      <c r="G66" s="18">
        <v>2362</v>
      </c>
      <c r="H66" s="55">
        <f t="shared" si="0"/>
        <v>4841</v>
      </c>
    </row>
    <row r="67" spans="1:9" x14ac:dyDescent="0.25">
      <c r="A67" s="20">
        <v>54404</v>
      </c>
      <c r="B67" s="21" t="s">
        <v>64</v>
      </c>
      <c r="C67" s="22">
        <v>20000</v>
      </c>
      <c r="D67" s="22">
        <v>6035</v>
      </c>
      <c r="E67" s="18">
        <f t="shared" si="6"/>
        <v>26035</v>
      </c>
      <c r="F67" s="18">
        <v>20065</v>
      </c>
      <c r="G67" s="18">
        <v>0</v>
      </c>
      <c r="H67" s="55">
        <f t="shared" si="0"/>
        <v>5970</v>
      </c>
    </row>
    <row r="68" spans="1:9" x14ac:dyDescent="0.25">
      <c r="A68" s="56"/>
      <c r="B68" s="26" t="s">
        <v>45</v>
      </c>
      <c r="C68" s="28">
        <f>SUM(C65:C67)</f>
        <v>39460</v>
      </c>
      <c r="D68" s="28">
        <f>SUM(D65:D67)</f>
        <v>6319.13</v>
      </c>
      <c r="E68" s="28">
        <f>SUM(E65:E67)</f>
        <v>45779.13</v>
      </c>
      <c r="F68" s="28">
        <f>SUM(F65:F67)</f>
        <v>28606.13</v>
      </c>
      <c r="G68" s="28">
        <f>SUM(G65:G67)</f>
        <v>2362</v>
      </c>
      <c r="H68" s="57">
        <f t="shared" si="0"/>
        <v>14810.999999999996</v>
      </c>
    </row>
    <row r="69" spans="1:9" x14ac:dyDescent="0.25">
      <c r="A69" s="20">
        <v>54505</v>
      </c>
      <c r="B69" s="21" t="s">
        <v>65</v>
      </c>
      <c r="C69" s="22">
        <v>4000</v>
      </c>
      <c r="D69" s="22"/>
      <c r="E69" s="18">
        <f t="shared" ref="E69:E70" si="7">+C69+D69</f>
        <v>4000</v>
      </c>
      <c r="F69" s="18">
        <v>0</v>
      </c>
      <c r="G69" s="18">
        <v>2000</v>
      </c>
      <c r="H69" s="55">
        <f t="shared" si="0"/>
        <v>2000</v>
      </c>
    </row>
    <row r="70" spans="1:9" x14ac:dyDescent="0.25">
      <c r="A70" s="20">
        <v>54599</v>
      </c>
      <c r="B70" s="21" t="s">
        <v>66</v>
      </c>
      <c r="C70" s="22">
        <v>34100</v>
      </c>
      <c r="D70" s="22"/>
      <c r="E70" s="18">
        <f t="shared" si="7"/>
        <v>34100</v>
      </c>
      <c r="F70" s="18">
        <v>0</v>
      </c>
      <c r="G70" s="18">
        <v>15500</v>
      </c>
      <c r="H70" s="55">
        <f t="shared" si="0"/>
        <v>18600</v>
      </c>
    </row>
    <row r="71" spans="1:9" x14ac:dyDescent="0.25">
      <c r="A71" s="56"/>
      <c r="B71" s="26" t="s">
        <v>45</v>
      </c>
      <c r="C71" s="28">
        <f>SUM(C69:C70)</f>
        <v>38100</v>
      </c>
      <c r="D71" s="28">
        <f>SUM(D69:D70)</f>
        <v>0</v>
      </c>
      <c r="E71" s="28">
        <f>SUM(E69:E70)</f>
        <v>38100</v>
      </c>
      <c r="F71" s="28">
        <f>SUM(F69:F70)</f>
        <v>0</v>
      </c>
      <c r="G71" s="28">
        <f>SUM(G69:G70)</f>
        <v>17500</v>
      </c>
      <c r="H71" s="55">
        <f t="shared" si="0"/>
        <v>20600</v>
      </c>
    </row>
    <row r="72" spans="1:9" x14ac:dyDescent="0.25">
      <c r="A72" s="58"/>
      <c r="B72" s="26" t="s">
        <v>26</v>
      </c>
      <c r="C72" s="28">
        <f>+C71+C68+C64+C52+C43</f>
        <v>2106910</v>
      </c>
      <c r="D72" s="28">
        <f>+D71+D68+D64+D52+D43</f>
        <v>122932.35</v>
      </c>
      <c r="E72" s="29">
        <f>+E71+E68+E64+E52+E43</f>
        <v>2229842.3499999996</v>
      </c>
      <c r="F72" s="30">
        <f>+F71+F68+F64+F52+F43</f>
        <v>1551609.33</v>
      </c>
      <c r="G72" s="59">
        <f>+G71+G68+G64+G52+G43</f>
        <v>198699.68</v>
      </c>
      <c r="H72" s="60">
        <f t="shared" si="0"/>
        <v>479533.33999999956</v>
      </c>
    </row>
    <row r="73" spans="1:9" x14ac:dyDescent="0.25">
      <c r="A73" s="20">
        <v>55599</v>
      </c>
      <c r="B73" s="21" t="s">
        <v>67</v>
      </c>
      <c r="C73" s="22">
        <v>3400</v>
      </c>
      <c r="D73" s="22"/>
      <c r="E73" s="18">
        <f>+C73+D73</f>
        <v>3400</v>
      </c>
      <c r="F73" s="18">
        <v>2718.64</v>
      </c>
      <c r="G73" s="18">
        <v>681.36</v>
      </c>
      <c r="H73" s="55">
        <f t="shared" si="0"/>
        <v>0</v>
      </c>
    </row>
    <row r="74" spans="1:9" x14ac:dyDescent="0.25">
      <c r="A74" s="56"/>
      <c r="B74" s="26" t="s">
        <v>45</v>
      </c>
      <c r="C74" s="28">
        <f>SUM(C73)</f>
        <v>3400</v>
      </c>
      <c r="D74" s="28">
        <f>SUM(D73)</f>
        <v>0</v>
      </c>
      <c r="E74" s="28">
        <f>SUM(E73)</f>
        <v>3400</v>
      </c>
      <c r="F74" s="28">
        <f>SUM(F73)</f>
        <v>2718.64</v>
      </c>
      <c r="G74" s="28">
        <f>SUM(G73)</f>
        <v>681.36</v>
      </c>
      <c r="H74" s="55">
        <f t="shared" si="0"/>
        <v>0</v>
      </c>
    </row>
    <row r="75" spans="1:9" x14ac:dyDescent="0.25">
      <c r="A75" s="20">
        <v>55601</v>
      </c>
      <c r="B75" s="21" t="s">
        <v>68</v>
      </c>
      <c r="C75" s="22">
        <v>47000</v>
      </c>
      <c r="D75" s="22">
        <v>1457.22</v>
      </c>
      <c r="E75" s="18">
        <f t="shared" ref="E75:E77" si="8">+C75+D75</f>
        <v>48457.22</v>
      </c>
      <c r="F75" s="18">
        <v>48457.22</v>
      </c>
      <c r="G75" s="18">
        <v>0</v>
      </c>
      <c r="H75" s="55">
        <f t="shared" ref="H75:H98" si="9">+E75-F75-G75</f>
        <v>0</v>
      </c>
    </row>
    <row r="76" spans="1:9" x14ac:dyDescent="0.25">
      <c r="A76" s="20">
        <v>55602</v>
      </c>
      <c r="B76" s="21" t="s">
        <v>69</v>
      </c>
      <c r="C76" s="22">
        <v>36000</v>
      </c>
      <c r="D76" s="22">
        <v>21149.56</v>
      </c>
      <c r="E76" s="18">
        <f t="shared" si="8"/>
        <v>57149.56</v>
      </c>
      <c r="F76" s="18">
        <v>57147.74</v>
      </c>
      <c r="G76" s="18">
        <v>1.82</v>
      </c>
      <c r="H76" s="55">
        <f t="shared" si="9"/>
        <v>-2.9110047705671604E-13</v>
      </c>
    </row>
    <row r="77" spans="1:9" x14ac:dyDescent="0.25">
      <c r="A77" s="20">
        <v>55603</v>
      </c>
      <c r="B77" s="21" t="s">
        <v>70</v>
      </c>
      <c r="C77" s="22">
        <v>25</v>
      </c>
      <c r="D77" s="22">
        <v>0</v>
      </c>
      <c r="E77" s="18">
        <f t="shared" si="8"/>
        <v>25</v>
      </c>
      <c r="F77" s="18">
        <v>25</v>
      </c>
      <c r="G77" s="22">
        <v>0</v>
      </c>
      <c r="H77" s="55">
        <f t="shared" si="9"/>
        <v>0</v>
      </c>
    </row>
    <row r="78" spans="1:9" x14ac:dyDescent="0.25">
      <c r="A78" s="56"/>
      <c r="B78" s="26" t="s">
        <v>45</v>
      </c>
      <c r="C78" s="28">
        <f>SUM(C75:C77)</f>
        <v>83025</v>
      </c>
      <c r="D78" s="28">
        <f>SUM(D75:D76)</f>
        <v>22606.780000000002</v>
      </c>
      <c r="E78" s="28">
        <f>SUM(E75:E77)</f>
        <v>105631.78</v>
      </c>
      <c r="F78" s="28">
        <f>SUM(F75:F77)</f>
        <v>105629.95999999999</v>
      </c>
      <c r="G78" s="28">
        <f>SUM(G75:G77)</f>
        <v>1.82</v>
      </c>
      <c r="H78" s="55">
        <f t="shared" si="9"/>
        <v>6.9848571371267099E-12</v>
      </c>
      <c r="I78" s="61"/>
    </row>
    <row r="79" spans="1:9" x14ac:dyDescent="0.25">
      <c r="A79" s="58"/>
      <c r="B79" s="26" t="s">
        <v>26</v>
      </c>
      <c r="C79" s="28">
        <f>+C78+C74</f>
        <v>86425</v>
      </c>
      <c r="D79" s="28">
        <f>+D74+D78</f>
        <v>22606.780000000002</v>
      </c>
      <c r="E79" s="29">
        <f>+E78+E74</f>
        <v>109031.78</v>
      </c>
      <c r="F79" s="30">
        <f>+F78+F74</f>
        <v>108348.59999999999</v>
      </c>
      <c r="G79" s="59">
        <f>+G74+G78</f>
        <v>683.18000000000006</v>
      </c>
      <c r="H79" s="60">
        <f t="shared" si="9"/>
        <v>7.503331289626658E-12</v>
      </c>
      <c r="I79" s="61"/>
    </row>
    <row r="80" spans="1:9" x14ac:dyDescent="0.25">
      <c r="A80" s="20">
        <v>56303</v>
      </c>
      <c r="B80" s="21" t="s">
        <v>71</v>
      </c>
      <c r="C80" s="22">
        <v>4000</v>
      </c>
      <c r="D80" s="22"/>
      <c r="E80" s="18">
        <f t="shared" ref="E80:E81" si="10">+C80+D80</f>
        <v>4000</v>
      </c>
      <c r="F80" s="18"/>
      <c r="G80" s="22">
        <v>2000</v>
      </c>
      <c r="H80" s="55">
        <f t="shared" si="9"/>
        <v>2000</v>
      </c>
      <c r="I80" s="62"/>
    </row>
    <row r="81" spans="1:9" x14ac:dyDescent="0.25">
      <c r="A81" s="20">
        <v>56304</v>
      </c>
      <c r="B81" s="21" t="s">
        <v>72</v>
      </c>
      <c r="C81" s="22">
        <v>0</v>
      </c>
      <c r="D81" s="22">
        <v>0</v>
      </c>
      <c r="E81" s="18">
        <f t="shared" si="10"/>
        <v>0</v>
      </c>
      <c r="F81" s="18">
        <v>0</v>
      </c>
      <c r="G81" s="22">
        <v>0</v>
      </c>
      <c r="H81" s="55">
        <f t="shared" si="9"/>
        <v>0</v>
      </c>
      <c r="I81" s="62"/>
    </row>
    <row r="82" spans="1:9" x14ac:dyDescent="0.25">
      <c r="A82" s="56"/>
      <c r="B82" s="26" t="s">
        <v>45</v>
      </c>
      <c r="C82" s="28">
        <f>C81+C80</f>
        <v>4000</v>
      </c>
      <c r="D82" s="28">
        <f>SUM(D80:D81)</f>
        <v>0</v>
      </c>
      <c r="E82" s="28">
        <f>SUM(E80:E81)</f>
        <v>4000</v>
      </c>
      <c r="F82" s="28">
        <f>SUM(F80:F81)</f>
        <v>0</v>
      </c>
      <c r="G82" s="28">
        <f>SUM(G80)</f>
        <v>2000</v>
      </c>
      <c r="H82" s="57">
        <f t="shared" si="9"/>
        <v>2000</v>
      </c>
      <c r="I82" s="62"/>
    </row>
    <row r="83" spans="1:9" x14ac:dyDescent="0.25">
      <c r="A83" s="20">
        <v>56404</v>
      </c>
      <c r="B83" s="21" t="s">
        <v>73</v>
      </c>
      <c r="C83" s="22">
        <v>5500</v>
      </c>
      <c r="D83" s="22"/>
      <c r="E83" s="18">
        <f>+C83+D83</f>
        <v>5500</v>
      </c>
      <c r="F83" s="18">
        <v>5121.01</v>
      </c>
      <c r="G83" s="22">
        <v>378.99</v>
      </c>
      <c r="H83" s="55">
        <f t="shared" si="9"/>
        <v>0</v>
      </c>
      <c r="I83" s="62"/>
    </row>
    <row r="84" spans="1:9" ht="15.75" thickBot="1" x14ac:dyDescent="0.3">
      <c r="A84" s="63"/>
      <c r="B84" s="64" t="s">
        <v>45</v>
      </c>
      <c r="C84" s="65">
        <f>SUM(C83)</f>
        <v>5500</v>
      </c>
      <c r="D84" s="65">
        <f>SUM(D83)</f>
        <v>0</v>
      </c>
      <c r="E84" s="65">
        <f>SUM(E83)</f>
        <v>5500</v>
      </c>
      <c r="F84" s="65">
        <f>SUM(F83)</f>
        <v>5121.01</v>
      </c>
      <c r="G84" s="65">
        <f>SUM(G83)</f>
        <v>378.99</v>
      </c>
      <c r="H84" s="66">
        <f t="shared" si="9"/>
        <v>0</v>
      </c>
      <c r="I84" s="62"/>
    </row>
    <row r="85" spans="1:9" ht="15.75" thickBot="1" x14ac:dyDescent="0.3">
      <c r="A85" s="67"/>
      <c r="B85" s="68" t="s">
        <v>26</v>
      </c>
      <c r="C85" s="69">
        <f>+C82+C84</f>
        <v>9500</v>
      </c>
      <c r="D85" s="69">
        <f t="shared" ref="D85:H85" si="11">+D82+D84</f>
        <v>0</v>
      </c>
      <c r="E85" s="70">
        <f t="shared" si="11"/>
        <v>9500</v>
      </c>
      <c r="F85" s="71">
        <f t="shared" si="11"/>
        <v>5121.01</v>
      </c>
      <c r="G85" s="72">
        <f t="shared" si="11"/>
        <v>2378.9899999999998</v>
      </c>
      <c r="H85" s="73">
        <f t="shared" si="11"/>
        <v>2000</v>
      </c>
      <c r="I85" s="62"/>
    </row>
    <row r="86" spans="1:9" x14ac:dyDescent="0.25">
      <c r="A86" s="42"/>
      <c r="B86" s="42"/>
      <c r="C86" s="43"/>
      <c r="D86" s="44"/>
      <c r="E86" s="44"/>
      <c r="F86" s="44"/>
      <c r="G86" s="44"/>
      <c r="H86" s="44"/>
      <c r="I86" s="62"/>
    </row>
    <row r="87" spans="1:9" x14ac:dyDescent="0.25">
      <c r="A87" s="42"/>
      <c r="B87" s="42"/>
      <c r="C87" s="43"/>
      <c r="D87" s="44"/>
      <c r="E87" s="44"/>
      <c r="F87" s="44"/>
      <c r="G87" s="44"/>
      <c r="H87" s="44"/>
      <c r="I87" s="62"/>
    </row>
    <row r="88" spans="1:9" x14ac:dyDescent="0.25">
      <c r="A88" s="42"/>
      <c r="B88" s="42"/>
      <c r="C88" s="43"/>
      <c r="D88" s="44"/>
      <c r="E88" s="44"/>
      <c r="F88" s="44"/>
      <c r="G88" s="44"/>
      <c r="H88" s="44"/>
      <c r="I88" s="62"/>
    </row>
    <row r="89" spans="1:9" ht="15.75" thickBot="1" x14ac:dyDescent="0.3">
      <c r="A89" s="42"/>
      <c r="B89" s="42"/>
      <c r="C89" s="43"/>
      <c r="D89" s="44"/>
      <c r="E89" s="44"/>
      <c r="F89" s="44"/>
      <c r="G89" s="44"/>
      <c r="H89" s="44"/>
      <c r="I89" s="62"/>
    </row>
    <row r="90" spans="1:9" ht="15.75" thickBot="1" x14ac:dyDescent="0.3">
      <c r="A90" s="7" t="s">
        <v>5</v>
      </c>
      <c r="B90" s="8" t="s">
        <v>6</v>
      </c>
      <c r="C90" s="46" t="s">
        <v>7</v>
      </c>
      <c r="D90" s="10" t="s">
        <v>8</v>
      </c>
      <c r="E90" s="47" t="s">
        <v>46</v>
      </c>
      <c r="F90" s="48" t="s">
        <v>10</v>
      </c>
      <c r="G90" s="49" t="s">
        <v>11</v>
      </c>
      <c r="H90" s="50" t="s">
        <v>12</v>
      </c>
      <c r="I90" s="62"/>
    </row>
    <row r="91" spans="1:9" x14ac:dyDescent="0.25">
      <c r="A91" s="74">
        <v>61101</v>
      </c>
      <c r="B91" s="75" t="s">
        <v>74</v>
      </c>
      <c r="C91" s="76">
        <v>5000</v>
      </c>
      <c r="D91" s="76">
        <v>-2390</v>
      </c>
      <c r="E91" s="53">
        <f t="shared" ref="E91:E95" si="12">+C91+D91</f>
        <v>2610</v>
      </c>
      <c r="F91" s="53">
        <v>0</v>
      </c>
      <c r="G91" s="76">
        <v>0</v>
      </c>
      <c r="H91" s="54">
        <f t="shared" si="9"/>
        <v>2610</v>
      </c>
      <c r="I91" s="77"/>
    </row>
    <row r="92" spans="1:9" x14ac:dyDescent="0.25">
      <c r="A92" s="56">
        <v>61102</v>
      </c>
      <c r="B92" s="78" t="s">
        <v>75</v>
      </c>
      <c r="C92" s="23">
        <v>15000</v>
      </c>
      <c r="D92" s="23">
        <v>-8539.4599999999991</v>
      </c>
      <c r="E92" s="18">
        <f t="shared" si="12"/>
        <v>6460.5400000000009</v>
      </c>
      <c r="F92" s="18">
        <v>5282</v>
      </c>
      <c r="G92" s="23">
        <v>0</v>
      </c>
      <c r="H92" s="55">
        <f t="shared" si="9"/>
        <v>1178.5400000000009</v>
      </c>
      <c r="I92" s="77"/>
    </row>
    <row r="93" spans="1:9" x14ac:dyDescent="0.25">
      <c r="A93" s="56">
        <v>61103</v>
      </c>
      <c r="B93" s="78" t="s">
        <v>76</v>
      </c>
      <c r="C93" s="23">
        <v>500</v>
      </c>
      <c r="D93" s="23">
        <v>-500</v>
      </c>
      <c r="E93" s="18">
        <f t="shared" si="12"/>
        <v>0</v>
      </c>
      <c r="F93" s="18">
        <v>0</v>
      </c>
      <c r="G93" s="23">
        <v>0</v>
      </c>
      <c r="H93" s="55">
        <f t="shared" si="9"/>
        <v>0</v>
      </c>
      <c r="I93" s="77"/>
    </row>
    <row r="94" spans="1:9" x14ac:dyDescent="0.25">
      <c r="A94" s="56">
        <v>61104</v>
      </c>
      <c r="B94" s="78" t="s">
        <v>77</v>
      </c>
      <c r="C94" s="23">
        <v>15055</v>
      </c>
      <c r="D94" s="23">
        <v>-12241.73</v>
      </c>
      <c r="E94" s="18">
        <f t="shared" si="12"/>
        <v>2813.2700000000004</v>
      </c>
      <c r="F94" s="18">
        <v>0</v>
      </c>
      <c r="G94" s="23">
        <v>0</v>
      </c>
      <c r="H94" s="55">
        <f t="shared" si="9"/>
        <v>2813.2700000000004</v>
      </c>
      <c r="I94" s="77"/>
    </row>
    <row r="95" spans="1:9" x14ac:dyDescent="0.25">
      <c r="A95" s="20">
        <v>61108</v>
      </c>
      <c r="B95" s="21" t="s">
        <v>42</v>
      </c>
      <c r="C95" s="22">
        <v>1000</v>
      </c>
      <c r="D95" s="22">
        <v>16.899999999999999</v>
      </c>
      <c r="E95" s="18">
        <f t="shared" si="12"/>
        <v>1016.9</v>
      </c>
      <c r="F95" s="18">
        <v>0</v>
      </c>
      <c r="G95" s="22">
        <v>0</v>
      </c>
      <c r="H95" s="55">
        <f t="shared" si="9"/>
        <v>1016.9</v>
      </c>
      <c r="I95" s="62"/>
    </row>
    <row r="96" spans="1:9" x14ac:dyDescent="0.25">
      <c r="A96" s="56"/>
      <c r="B96" s="26" t="s">
        <v>45</v>
      </c>
      <c r="C96" s="28">
        <f>SUM(C91:C95)</f>
        <v>36555</v>
      </c>
      <c r="D96" s="28">
        <f>SUM(D91:D95)</f>
        <v>-23654.289999999997</v>
      </c>
      <c r="E96" s="28">
        <f>SUM(E91:E95)</f>
        <v>12900.710000000001</v>
      </c>
      <c r="F96" s="28">
        <f>SUM(F91:F95)</f>
        <v>5282</v>
      </c>
      <c r="G96" s="28">
        <f>SUM(G95)</f>
        <v>0</v>
      </c>
      <c r="H96" s="57">
        <f t="shared" si="9"/>
        <v>7618.7100000000009</v>
      </c>
      <c r="I96" s="62"/>
    </row>
    <row r="97" spans="1:9" x14ac:dyDescent="0.25">
      <c r="A97" s="20">
        <v>61403</v>
      </c>
      <c r="B97" s="21" t="s">
        <v>78</v>
      </c>
      <c r="C97" s="22">
        <v>0</v>
      </c>
      <c r="D97" s="22">
        <v>1047.51</v>
      </c>
      <c r="E97" s="18">
        <f>+C97+D97</f>
        <v>1047.51</v>
      </c>
      <c r="F97" s="22">
        <v>0</v>
      </c>
      <c r="G97" s="22">
        <v>0</v>
      </c>
      <c r="H97" s="55">
        <f t="shared" si="9"/>
        <v>1047.51</v>
      </c>
      <c r="I97" s="62"/>
    </row>
    <row r="98" spans="1:9" ht="15.75" thickBot="1" x14ac:dyDescent="0.3">
      <c r="A98" s="79"/>
      <c r="B98" s="80" t="s">
        <v>45</v>
      </c>
      <c r="C98" s="81">
        <f>+C97</f>
        <v>0</v>
      </c>
      <c r="D98" s="81">
        <f>+D97</f>
        <v>1047.51</v>
      </c>
      <c r="E98" s="82">
        <f>+E97</f>
        <v>1047.51</v>
      </c>
      <c r="F98" s="82">
        <f>+F97</f>
        <v>0</v>
      </c>
      <c r="G98" s="82">
        <f>SUM(G97)</f>
        <v>0</v>
      </c>
      <c r="H98" s="83">
        <f t="shared" si="9"/>
        <v>1047.51</v>
      </c>
      <c r="I98" s="62"/>
    </row>
    <row r="99" spans="1:9" ht="15.75" thickBot="1" x14ac:dyDescent="0.3">
      <c r="A99" s="84"/>
      <c r="B99" s="85" t="s">
        <v>26</v>
      </c>
      <c r="C99" s="86">
        <f>+C96+C98</f>
        <v>36555</v>
      </c>
      <c r="D99" s="86">
        <f>+D98+D96</f>
        <v>-22606.78</v>
      </c>
      <c r="E99" s="87">
        <f>+E98+E96</f>
        <v>13948.220000000001</v>
      </c>
      <c r="F99" s="88">
        <f>+F98+F96</f>
        <v>5282</v>
      </c>
      <c r="G99" s="89">
        <v>0</v>
      </c>
      <c r="H99" s="90">
        <f>+H98+H96</f>
        <v>8666.2200000000012</v>
      </c>
      <c r="I99" s="62"/>
    </row>
    <row r="100" spans="1:9" x14ac:dyDescent="0.25">
      <c r="A100" s="91"/>
      <c r="B100" s="92" t="s">
        <v>79</v>
      </c>
      <c r="C100" s="93">
        <f>+C99+C85+C79+C72+C24</f>
        <v>9475399</v>
      </c>
      <c r="D100" s="94">
        <f>+D99+D85+D79+D72+D24</f>
        <v>150000.00000000003</v>
      </c>
      <c r="E100" s="95">
        <f>+E24+E72+E79+E99+E85</f>
        <v>9625399</v>
      </c>
      <c r="F100" s="96">
        <f>+F24+F72+F79+F99+F85</f>
        <v>6225905.8300000001</v>
      </c>
      <c r="G100" s="97">
        <f>+G24+G72+G79+G99+G85</f>
        <v>344164.07</v>
      </c>
      <c r="H100" s="98">
        <f>+E100-F100-G100</f>
        <v>3055329.1</v>
      </c>
      <c r="I100" s="61"/>
    </row>
    <row r="101" spans="1:9" x14ac:dyDescent="0.25">
      <c r="C101" s="99"/>
      <c r="D101" s="100"/>
      <c r="E101" s="100"/>
      <c r="F101" s="100"/>
      <c r="G101" s="100"/>
      <c r="H101" s="61"/>
      <c r="I101" s="61"/>
    </row>
    <row r="102" spans="1:9" x14ac:dyDescent="0.25">
      <c r="C102" s="99"/>
      <c r="D102" s="100"/>
      <c r="E102" s="100"/>
      <c r="F102" s="100"/>
      <c r="G102" s="100"/>
      <c r="H102" s="61"/>
      <c r="I102" s="61"/>
    </row>
  </sheetData>
  <mergeCells count="5">
    <mergeCell ref="B2:I2"/>
    <mergeCell ref="B3:F3"/>
    <mergeCell ref="B4:F4"/>
    <mergeCell ref="A6:H6"/>
    <mergeCell ref="B7:H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"/>
  <sheetViews>
    <sheetView workbookViewId="0">
      <selection activeCell="C11" sqref="C11"/>
    </sheetView>
  </sheetViews>
  <sheetFormatPr baseColWidth="10" defaultRowHeight="15" x14ac:dyDescent="0.25"/>
  <cols>
    <col min="2" max="2" width="40.28515625" customWidth="1"/>
    <col min="3" max="3" width="16.7109375" customWidth="1"/>
    <col min="4" max="4" width="15.28515625" customWidth="1"/>
    <col min="5" max="5" width="15.140625" customWidth="1"/>
    <col min="6" max="6" width="13.7109375" customWidth="1"/>
    <col min="7" max="7" width="16.28515625" customWidth="1"/>
    <col min="8" max="8" width="14.42578125" customWidth="1"/>
  </cols>
  <sheetData>
    <row r="1" spans="1:9" x14ac:dyDescent="0.25">
      <c r="C1" s="1"/>
    </row>
    <row r="2" spans="1:9" ht="15.75" x14ac:dyDescent="0.25">
      <c r="A2" s="2"/>
      <c r="B2" s="110" t="s">
        <v>0</v>
      </c>
      <c r="C2" s="110"/>
      <c r="D2" s="110"/>
      <c r="E2" s="110"/>
      <c r="F2" s="110"/>
      <c r="G2" s="110"/>
      <c r="H2" s="110"/>
      <c r="I2" s="110"/>
    </row>
    <row r="3" spans="1:9" x14ac:dyDescent="0.25">
      <c r="A3" s="2"/>
      <c r="B3" s="111" t="s">
        <v>1</v>
      </c>
      <c r="C3" s="111"/>
      <c r="D3" s="111"/>
      <c r="E3" s="111"/>
      <c r="F3" s="111"/>
      <c r="G3" s="3"/>
      <c r="H3" s="2"/>
      <c r="I3" s="2"/>
    </row>
    <row r="4" spans="1:9" x14ac:dyDescent="0.25">
      <c r="A4" s="4"/>
      <c r="B4" s="111" t="s">
        <v>2</v>
      </c>
      <c r="C4" s="111"/>
      <c r="D4" s="111"/>
      <c r="E4" s="111"/>
      <c r="F4" s="111"/>
      <c r="G4" s="3"/>
      <c r="H4" s="4"/>
      <c r="I4" s="2"/>
    </row>
    <row r="5" spans="1:9" x14ac:dyDescent="0.25">
      <c r="A5" s="4"/>
      <c r="B5" s="3"/>
      <c r="C5" s="5"/>
      <c r="D5" s="3"/>
      <c r="E5" s="3"/>
      <c r="F5" s="3"/>
      <c r="G5" s="3"/>
      <c r="H5" s="4"/>
      <c r="I5" s="2"/>
    </row>
    <row r="6" spans="1:9" x14ac:dyDescent="0.25">
      <c r="A6" s="112" t="s">
        <v>3</v>
      </c>
      <c r="B6" s="112"/>
      <c r="C6" s="112"/>
      <c r="D6" s="112"/>
      <c r="E6" s="112"/>
      <c r="F6" s="112"/>
      <c r="G6" s="112"/>
      <c r="H6" s="112"/>
      <c r="I6" s="2"/>
    </row>
    <row r="7" spans="1:9" ht="15.75" thickBot="1" x14ac:dyDescent="0.3">
      <c r="A7" s="6"/>
      <c r="B7" s="112" t="s">
        <v>80</v>
      </c>
      <c r="C7" s="112"/>
      <c r="D7" s="112"/>
      <c r="E7" s="112"/>
      <c r="F7" s="112"/>
      <c r="G7" s="112"/>
      <c r="H7" s="112"/>
      <c r="I7" s="2"/>
    </row>
    <row r="8" spans="1:9" ht="15.75" thickBot="1" x14ac:dyDescent="0.3">
      <c r="A8" s="7" t="s">
        <v>5</v>
      </c>
      <c r="B8" s="8" t="s">
        <v>6</v>
      </c>
      <c r="C8" s="9" t="s">
        <v>7</v>
      </c>
      <c r="D8" s="10" t="s">
        <v>8</v>
      </c>
      <c r="E8" s="11" t="s">
        <v>9</v>
      </c>
      <c r="F8" s="12" t="s">
        <v>10</v>
      </c>
      <c r="G8" s="13" t="s">
        <v>11</v>
      </c>
      <c r="H8" s="14" t="s">
        <v>12</v>
      </c>
      <c r="I8" s="15"/>
    </row>
    <row r="9" spans="1:9" x14ac:dyDescent="0.25">
      <c r="A9" s="16">
        <v>51101</v>
      </c>
      <c r="B9" s="17" t="s">
        <v>13</v>
      </c>
      <c r="C9" s="18">
        <v>4981600</v>
      </c>
      <c r="D9" s="18">
        <v>-84599.9</v>
      </c>
      <c r="E9" s="18">
        <f>+C9+D9</f>
        <v>4897000.0999999996</v>
      </c>
      <c r="F9" s="18">
        <v>3570347.48</v>
      </c>
      <c r="G9" s="18">
        <f>127482.76-46233.86</f>
        <v>81248.899999999994</v>
      </c>
      <c r="H9" s="19">
        <f t="shared" ref="H9:H74" si="0">+E9-F9-G9</f>
        <v>1245403.7199999997</v>
      </c>
    </row>
    <row r="10" spans="1:9" x14ac:dyDescent="0.25">
      <c r="A10" s="20">
        <v>51103</v>
      </c>
      <c r="B10" s="21" t="s">
        <v>14</v>
      </c>
      <c r="C10" s="22">
        <v>181800</v>
      </c>
      <c r="D10" s="18"/>
      <c r="E10" s="18">
        <f t="shared" ref="E10:E23" si="1">+C10+D10</f>
        <v>181800</v>
      </c>
      <c r="F10" s="18"/>
      <c r="G10" s="18"/>
      <c r="H10" s="19">
        <f t="shared" si="0"/>
        <v>181800</v>
      </c>
    </row>
    <row r="11" spans="1:9" x14ac:dyDescent="0.25">
      <c r="A11" s="20">
        <v>51107</v>
      </c>
      <c r="B11" s="21" t="s">
        <v>15</v>
      </c>
      <c r="C11" s="22">
        <v>0</v>
      </c>
      <c r="D11" s="22">
        <v>115919.88</v>
      </c>
      <c r="E11" s="18">
        <f t="shared" si="1"/>
        <v>115919.88</v>
      </c>
      <c r="F11" s="18">
        <v>114800</v>
      </c>
      <c r="G11" s="18">
        <v>1119.8800000000001</v>
      </c>
      <c r="H11" s="19">
        <f t="shared" si="0"/>
        <v>4.5474735088646412E-12</v>
      </c>
    </row>
    <row r="12" spans="1:9" x14ac:dyDescent="0.25">
      <c r="A12" s="20">
        <v>51201</v>
      </c>
      <c r="B12" s="21" t="s">
        <v>16</v>
      </c>
      <c r="C12" s="22">
        <v>1068700</v>
      </c>
      <c r="D12" s="23">
        <v>-40524.949999999997</v>
      </c>
      <c r="E12" s="18">
        <f t="shared" si="1"/>
        <v>1028175.05</v>
      </c>
      <c r="F12" s="18">
        <v>711760.09</v>
      </c>
      <c r="G12" s="18">
        <f>76307.39-27078.69</f>
        <v>49228.7</v>
      </c>
      <c r="H12" s="19">
        <f t="shared" si="0"/>
        <v>267186.26000000007</v>
      </c>
    </row>
    <row r="13" spans="1:9" x14ac:dyDescent="0.25">
      <c r="A13" s="20">
        <v>51203</v>
      </c>
      <c r="B13" s="21" t="s">
        <v>14</v>
      </c>
      <c r="C13" s="22">
        <v>30600</v>
      </c>
      <c r="D13" s="22"/>
      <c r="E13" s="18">
        <f t="shared" si="1"/>
        <v>30600</v>
      </c>
      <c r="F13" s="18"/>
      <c r="G13" s="18"/>
      <c r="H13" s="19">
        <f t="shared" si="0"/>
        <v>30600</v>
      </c>
    </row>
    <row r="14" spans="1:9" x14ac:dyDescent="0.25">
      <c r="A14" s="20">
        <v>51207</v>
      </c>
      <c r="B14" s="21" t="s">
        <v>15</v>
      </c>
      <c r="C14" s="22">
        <v>0</v>
      </c>
      <c r="D14" s="22">
        <v>18600</v>
      </c>
      <c r="E14" s="18">
        <f t="shared" si="1"/>
        <v>18600</v>
      </c>
      <c r="F14" s="18">
        <v>18600</v>
      </c>
      <c r="G14" s="18"/>
      <c r="H14" s="19">
        <f t="shared" si="0"/>
        <v>0</v>
      </c>
    </row>
    <row r="15" spans="1:9" x14ac:dyDescent="0.25">
      <c r="A15" s="20">
        <v>51401</v>
      </c>
      <c r="B15" s="21" t="s">
        <v>17</v>
      </c>
      <c r="C15" s="22">
        <v>331890</v>
      </c>
      <c r="D15" s="22">
        <v>-12555.71</v>
      </c>
      <c r="E15" s="18">
        <f t="shared" si="1"/>
        <v>319334.28999999998</v>
      </c>
      <c r="F15" s="18">
        <v>218266.71</v>
      </c>
      <c r="G15" s="18">
        <f>27502.36-9422.29</f>
        <v>18080.07</v>
      </c>
      <c r="H15" s="19">
        <f t="shared" si="0"/>
        <v>82987.50999999998</v>
      </c>
    </row>
    <row r="16" spans="1:9" x14ac:dyDescent="0.25">
      <c r="A16" s="20">
        <v>51402</v>
      </c>
      <c r="B16" s="21" t="s">
        <v>18</v>
      </c>
      <c r="C16" s="22">
        <v>57985</v>
      </c>
      <c r="D16" s="22">
        <v>-2471.6</v>
      </c>
      <c r="E16" s="18">
        <f t="shared" si="1"/>
        <v>55513.4</v>
      </c>
      <c r="F16" s="18">
        <v>37363.550000000003</v>
      </c>
      <c r="G16" s="18">
        <f>5441.3-1797.45</f>
        <v>3643.8500000000004</v>
      </c>
      <c r="H16" s="19">
        <f t="shared" si="0"/>
        <v>14505.999999999998</v>
      </c>
    </row>
    <row r="17" spans="1:8" x14ac:dyDescent="0.25">
      <c r="A17" s="20">
        <v>51501</v>
      </c>
      <c r="B17" s="21" t="s">
        <v>19</v>
      </c>
      <c r="C17" s="22">
        <v>320785</v>
      </c>
      <c r="D17" s="22">
        <v>34922.730000000003</v>
      </c>
      <c r="E17" s="18">
        <f t="shared" si="1"/>
        <v>355707.73</v>
      </c>
      <c r="F17" s="18">
        <v>242047.93</v>
      </c>
      <c r="G17" s="18">
        <f>32019.5-10984.72</f>
        <v>21034.78</v>
      </c>
      <c r="H17" s="19">
        <f t="shared" si="0"/>
        <v>92625.01999999999</v>
      </c>
    </row>
    <row r="18" spans="1:8" x14ac:dyDescent="0.25">
      <c r="A18" s="20">
        <v>51502</v>
      </c>
      <c r="B18" s="21" t="s">
        <v>20</v>
      </c>
      <c r="C18" s="22">
        <v>72140</v>
      </c>
      <c r="D18" s="22">
        <v>6863.78</v>
      </c>
      <c r="E18" s="18">
        <f t="shared" si="1"/>
        <v>79003.78</v>
      </c>
      <c r="F18" s="18">
        <v>52304.77</v>
      </c>
      <c r="G18" s="18">
        <f>8852.79-2844.52</f>
        <v>6008.27</v>
      </c>
      <c r="H18" s="19">
        <f t="shared" si="0"/>
        <v>20690.740000000002</v>
      </c>
    </row>
    <row r="19" spans="1:8" x14ac:dyDescent="0.25">
      <c r="A19" s="20">
        <v>51601</v>
      </c>
      <c r="B19" s="21" t="s">
        <v>21</v>
      </c>
      <c r="C19" s="22">
        <v>46625</v>
      </c>
      <c r="D19" s="22">
        <v>4.12</v>
      </c>
      <c r="E19" s="18">
        <f t="shared" si="1"/>
        <v>46629.120000000003</v>
      </c>
      <c r="F19" s="18">
        <v>33864.46</v>
      </c>
      <c r="G19" s="18">
        <v>1107.3800000000001</v>
      </c>
      <c r="H19" s="19">
        <f t="shared" si="0"/>
        <v>11657.280000000002</v>
      </c>
    </row>
    <row r="20" spans="1:8" x14ac:dyDescent="0.25">
      <c r="A20" s="20">
        <v>51701</v>
      </c>
      <c r="B20" s="21" t="s">
        <v>22</v>
      </c>
      <c r="C20" s="22">
        <v>54989</v>
      </c>
      <c r="D20" s="22">
        <v>-6466.49</v>
      </c>
      <c r="E20" s="18">
        <f t="shared" si="1"/>
        <v>48522.51</v>
      </c>
      <c r="F20" s="18">
        <v>47132.97</v>
      </c>
      <c r="G20" s="18">
        <f>1400.69-11.15</f>
        <v>1389.54</v>
      </c>
      <c r="H20" s="19">
        <f t="shared" si="0"/>
        <v>0</v>
      </c>
    </row>
    <row r="21" spans="1:8" x14ac:dyDescent="0.25">
      <c r="A21" s="20">
        <v>51702</v>
      </c>
      <c r="B21" s="21" t="s">
        <v>23</v>
      </c>
      <c r="C21" s="22"/>
      <c r="D21" s="22">
        <v>6455.34</v>
      </c>
      <c r="E21" s="18">
        <f t="shared" si="1"/>
        <v>6455.34</v>
      </c>
      <c r="F21" s="18">
        <v>6335.19</v>
      </c>
      <c r="G21" s="18">
        <v>120.15</v>
      </c>
      <c r="H21" s="19">
        <f t="shared" si="0"/>
        <v>5.4001247917767614E-13</v>
      </c>
    </row>
    <row r="22" spans="1:8" x14ac:dyDescent="0.25">
      <c r="A22" s="20">
        <v>51903</v>
      </c>
      <c r="B22" s="21" t="s">
        <v>24</v>
      </c>
      <c r="C22" s="22">
        <v>71895</v>
      </c>
      <c r="D22" s="22">
        <v>-9079.5499999999993</v>
      </c>
      <c r="E22" s="18">
        <f t="shared" si="1"/>
        <v>62815.45</v>
      </c>
      <c r="F22" s="18">
        <v>51373.45</v>
      </c>
      <c r="G22" s="18">
        <f>11001.67-9459.67</f>
        <v>1542</v>
      </c>
      <c r="H22" s="19">
        <f t="shared" si="0"/>
        <v>9900</v>
      </c>
    </row>
    <row r="23" spans="1:8" x14ac:dyDescent="0.25">
      <c r="A23" s="20">
        <v>51999</v>
      </c>
      <c r="B23" s="21" t="s">
        <v>25</v>
      </c>
      <c r="C23" s="22">
        <v>17000</v>
      </c>
      <c r="D23" s="22"/>
      <c r="E23" s="18">
        <f t="shared" si="1"/>
        <v>17000</v>
      </c>
      <c r="F23" s="18"/>
      <c r="G23" s="24"/>
      <c r="H23" s="19">
        <f t="shared" si="0"/>
        <v>17000</v>
      </c>
    </row>
    <row r="24" spans="1:8" x14ac:dyDescent="0.25">
      <c r="A24" s="25"/>
      <c r="B24" s="26" t="s">
        <v>26</v>
      </c>
      <c r="C24" s="27">
        <f t="shared" ref="C24:H24" si="2">SUM(C9:C23)</f>
        <v>7236009</v>
      </c>
      <c r="D24" s="28">
        <f t="shared" si="2"/>
        <v>27067.650000000027</v>
      </c>
      <c r="E24" s="29">
        <f t="shared" si="2"/>
        <v>7263076.6499999994</v>
      </c>
      <c r="F24" s="30">
        <f t="shared" si="2"/>
        <v>5104196.5999999996</v>
      </c>
      <c r="G24" s="31">
        <f>SUM(G9:G23)</f>
        <v>184523.51999999999</v>
      </c>
      <c r="H24" s="32">
        <f t="shared" si="2"/>
        <v>1974356.5299999998</v>
      </c>
    </row>
    <row r="25" spans="1:8" x14ac:dyDescent="0.25">
      <c r="A25" s="20">
        <v>54101</v>
      </c>
      <c r="B25" s="21" t="s">
        <v>27</v>
      </c>
      <c r="C25" s="22">
        <v>52905</v>
      </c>
      <c r="D25" s="22">
        <v>27063.34</v>
      </c>
      <c r="E25" s="18">
        <f t="shared" ref="E25:E42" si="3">+C25+D25</f>
        <v>79968.34</v>
      </c>
      <c r="F25" s="18">
        <v>66019.81</v>
      </c>
      <c r="G25" s="18">
        <v>8111.93</v>
      </c>
      <c r="H25" s="19">
        <f t="shared" si="0"/>
        <v>5836.5999999999985</v>
      </c>
    </row>
    <row r="26" spans="1:8" x14ac:dyDescent="0.25">
      <c r="A26" s="20">
        <v>54103</v>
      </c>
      <c r="B26" s="21" t="s">
        <v>28</v>
      </c>
      <c r="C26" s="22">
        <v>1000</v>
      </c>
      <c r="D26" s="22">
        <v>-420.97</v>
      </c>
      <c r="E26" s="18">
        <f t="shared" si="3"/>
        <v>579.03</v>
      </c>
      <c r="F26" s="18">
        <v>133.03</v>
      </c>
      <c r="G26" s="18">
        <v>446</v>
      </c>
      <c r="H26" s="19">
        <f t="shared" si="0"/>
        <v>0</v>
      </c>
    </row>
    <row r="27" spans="1:8" x14ac:dyDescent="0.25">
      <c r="A27" s="20">
        <v>54104</v>
      </c>
      <c r="B27" s="21" t="s">
        <v>29</v>
      </c>
      <c r="C27" s="22">
        <v>53150</v>
      </c>
      <c r="D27" s="22">
        <v>-1720</v>
      </c>
      <c r="E27" s="18">
        <f t="shared" si="3"/>
        <v>51430</v>
      </c>
      <c r="F27" s="18">
        <v>40015.730000000003</v>
      </c>
      <c r="G27" s="18">
        <v>4164.3</v>
      </c>
      <c r="H27" s="19">
        <f t="shared" si="0"/>
        <v>7249.9699999999966</v>
      </c>
    </row>
    <row r="28" spans="1:8" x14ac:dyDescent="0.25">
      <c r="A28" s="20">
        <v>54105</v>
      </c>
      <c r="B28" s="21" t="s">
        <v>30</v>
      </c>
      <c r="C28" s="22">
        <v>17135</v>
      </c>
      <c r="D28" s="22">
        <v>4660.01</v>
      </c>
      <c r="E28" s="18">
        <f t="shared" si="3"/>
        <v>21795.010000000002</v>
      </c>
      <c r="F28" s="18">
        <v>17198.62</v>
      </c>
      <c r="G28" s="18">
        <v>596.39</v>
      </c>
      <c r="H28" s="19">
        <f t="shared" si="0"/>
        <v>4000.0000000000032</v>
      </c>
    </row>
    <row r="29" spans="1:8" x14ac:dyDescent="0.25">
      <c r="A29" s="20">
        <v>54106</v>
      </c>
      <c r="B29" s="21" t="s">
        <v>31</v>
      </c>
      <c r="C29" s="22">
        <v>150</v>
      </c>
      <c r="D29" s="22">
        <v>87</v>
      </c>
      <c r="E29" s="18">
        <f t="shared" si="3"/>
        <v>237</v>
      </c>
      <c r="F29" s="18">
        <v>237</v>
      </c>
      <c r="G29" s="18">
        <v>0</v>
      </c>
      <c r="H29" s="19">
        <f t="shared" si="0"/>
        <v>0</v>
      </c>
    </row>
    <row r="30" spans="1:8" x14ac:dyDescent="0.25">
      <c r="A30" s="20">
        <v>54107</v>
      </c>
      <c r="B30" s="21" t="s">
        <v>32</v>
      </c>
      <c r="C30" s="22">
        <v>10800</v>
      </c>
      <c r="D30" s="22">
        <v>2052.4299999999998</v>
      </c>
      <c r="E30" s="18">
        <f t="shared" si="3"/>
        <v>12852.43</v>
      </c>
      <c r="F30" s="18">
        <v>11107.1</v>
      </c>
      <c r="G30" s="18">
        <v>995.33</v>
      </c>
      <c r="H30" s="19">
        <f t="shared" si="0"/>
        <v>749.99999999999989</v>
      </c>
    </row>
    <row r="31" spans="1:8" x14ac:dyDescent="0.25">
      <c r="A31" s="20">
        <v>54108</v>
      </c>
      <c r="B31" s="21" t="s">
        <v>33</v>
      </c>
      <c r="C31" s="22">
        <v>15000</v>
      </c>
      <c r="D31" s="22">
        <v>481.4</v>
      </c>
      <c r="E31" s="18">
        <f t="shared" si="3"/>
        <v>15481.4</v>
      </c>
      <c r="F31" s="18">
        <v>8481.4</v>
      </c>
      <c r="G31" s="18">
        <v>0</v>
      </c>
      <c r="H31" s="19">
        <f t="shared" si="0"/>
        <v>7000</v>
      </c>
    </row>
    <row r="32" spans="1:8" x14ac:dyDescent="0.25">
      <c r="A32" s="20">
        <v>54109</v>
      </c>
      <c r="B32" s="21" t="s">
        <v>34</v>
      </c>
      <c r="C32" s="22">
        <v>4000</v>
      </c>
      <c r="D32" s="22"/>
      <c r="E32" s="18">
        <f t="shared" si="3"/>
        <v>4000</v>
      </c>
      <c r="F32" s="18">
        <v>1464.72</v>
      </c>
      <c r="G32" s="18">
        <v>535.28</v>
      </c>
      <c r="H32" s="19">
        <f t="shared" si="0"/>
        <v>1999.9999999999998</v>
      </c>
    </row>
    <row r="33" spans="1:8" x14ac:dyDescent="0.25">
      <c r="A33" s="20">
        <v>54110</v>
      </c>
      <c r="B33" s="21" t="s">
        <v>35</v>
      </c>
      <c r="C33" s="22">
        <v>20025</v>
      </c>
      <c r="D33" s="22">
        <v>16.55</v>
      </c>
      <c r="E33" s="18">
        <f t="shared" si="3"/>
        <v>20041.55</v>
      </c>
      <c r="F33" s="18">
        <v>20033.97</v>
      </c>
      <c r="G33" s="18">
        <f>20004-19996.42</f>
        <v>7.5800000000017462</v>
      </c>
      <c r="H33" s="19">
        <f t="shared" si="0"/>
        <v>-3.637978807091713E-12</v>
      </c>
    </row>
    <row r="34" spans="1:8" x14ac:dyDescent="0.25">
      <c r="A34" s="20">
        <v>54111</v>
      </c>
      <c r="B34" s="21" t="s">
        <v>36</v>
      </c>
      <c r="C34" s="22">
        <v>400</v>
      </c>
      <c r="D34" s="22">
        <v>-222.41</v>
      </c>
      <c r="E34" s="18">
        <f t="shared" si="3"/>
        <v>177.59</v>
      </c>
      <c r="F34" s="18">
        <v>177.59</v>
      </c>
      <c r="G34" s="18">
        <v>0</v>
      </c>
      <c r="H34" s="19">
        <f t="shared" si="0"/>
        <v>0</v>
      </c>
    </row>
    <row r="35" spans="1:8" x14ac:dyDescent="0.25">
      <c r="A35" s="20">
        <v>54112</v>
      </c>
      <c r="B35" s="21" t="s">
        <v>37</v>
      </c>
      <c r="C35" s="22">
        <v>1400</v>
      </c>
      <c r="D35" s="22">
        <v>1423.77</v>
      </c>
      <c r="E35" s="18">
        <f t="shared" si="3"/>
        <v>2823.77</v>
      </c>
      <c r="F35" s="18">
        <v>2023.56</v>
      </c>
      <c r="G35" s="18">
        <v>773.91</v>
      </c>
      <c r="H35" s="19">
        <f t="shared" si="0"/>
        <v>26.300000000000068</v>
      </c>
    </row>
    <row r="36" spans="1:8" x14ac:dyDescent="0.25">
      <c r="A36" s="20">
        <v>54113</v>
      </c>
      <c r="B36" s="21" t="s">
        <v>38</v>
      </c>
      <c r="C36" s="22">
        <v>900</v>
      </c>
      <c r="D36" s="22">
        <v>-481.4</v>
      </c>
      <c r="E36" s="18">
        <f t="shared" si="3"/>
        <v>418.6</v>
      </c>
      <c r="F36" s="18">
        <v>15</v>
      </c>
      <c r="G36" s="18">
        <v>53.6</v>
      </c>
      <c r="H36" s="19">
        <f t="shared" si="0"/>
        <v>350</v>
      </c>
    </row>
    <row r="37" spans="1:8" x14ac:dyDescent="0.25">
      <c r="A37" s="20">
        <v>54114</v>
      </c>
      <c r="B37" s="21" t="s">
        <v>39</v>
      </c>
      <c r="C37" s="22">
        <v>5425</v>
      </c>
      <c r="D37" s="22">
        <v>-371.64</v>
      </c>
      <c r="E37" s="18">
        <f t="shared" si="3"/>
        <v>5053.3599999999997</v>
      </c>
      <c r="F37" s="18">
        <v>4961.38</v>
      </c>
      <c r="G37" s="18">
        <v>91.98</v>
      </c>
      <c r="H37" s="19">
        <f t="shared" si="0"/>
        <v>-4.4053649617126212E-13</v>
      </c>
    </row>
    <row r="38" spans="1:8" x14ac:dyDescent="0.25">
      <c r="A38" s="20">
        <v>54115</v>
      </c>
      <c r="B38" s="21" t="s">
        <v>40</v>
      </c>
      <c r="C38" s="22">
        <v>12000</v>
      </c>
      <c r="D38" s="22">
        <v>12</v>
      </c>
      <c r="E38" s="18">
        <f t="shared" si="3"/>
        <v>12012</v>
      </c>
      <c r="F38" s="18">
        <v>9410.7199999999993</v>
      </c>
      <c r="G38" s="18">
        <v>2601.2800000000002</v>
      </c>
      <c r="H38" s="19">
        <f t="shared" si="0"/>
        <v>0</v>
      </c>
    </row>
    <row r="39" spans="1:8" x14ac:dyDescent="0.25">
      <c r="A39" s="20">
        <v>54116</v>
      </c>
      <c r="B39" s="21" t="s">
        <v>41</v>
      </c>
      <c r="C39" s="22">
        <v>600</v>
      </c>
      <c r="D39" s="22">
        <v>35</v>
      </c>
      <c r="E39" s="18">
        <f t="shared" si="3"/>
        <v>635</v>
      </c>
      <c r="F39" s="18">
        <v>494.3</v>
      </c>
      <c r="G39" s="18">
        <v>140.69999999999999</v>
      </c>
      <c r="H39" s="19">
        <f t="shared" si="0"/>
        <v>0</v>
      </c>
    </row>
    <row r="40" spans="1:8" x14ac:dyDescent="0.25">
      <c r="A40" s="20">
        <v>54118</v>
      </c>
      <c r="B40" s="21" t="s">
        <v>42</v>
      </c>
      <c r="C40" s="22">
        <v>1750</v>
      </c>
      <c r="D40" s="22">
        <v>1150.8800000000001</v>
      </c>
      <c r="E40" s="18">
        <f t="shared" si="3"/>
        <v>2900.88</v>
      </c>
      <c r="F40" s="18">
        <v>1172.58</v>
      </c>
      <c r="G40" s="18">
        <v>365.87</v>
      </c>
      <c r="H40" s="19">
        <f t="shared" si="0"/>
        <v>1362.4300000000003</v>
      </c>
    </row>
    <row r="41" spans="1:8" x14ac:dyDescent="0.25">
      <c r="A41" s="20">
        <v>54119</v>
      </c>
      <c r="B41" s="21" t="s">
        <v>43</v>
      </c>
      <c r="C41" s="22">
        <v>2000</v>
      </c>
      <c r="D41" s="22">
        <v>878.61</v>
      </c>
      <c r="E41" s="18">
        <f t="shared" si="3"/>
        <v>2878.61</v>
      </c>
      <c r="F41" s="18">
        <v>2373.19</v>
      </c>
      <c r="G41" s="18">
        <v>5.42</v>
      </c>
      <c r="H41" s="19">
        <f t="shared" si="0"/>
        <v>500.00000000000006</v>
      </c>
    </row>
    <row r="42" spans="1:8" ht="15.75" thickBot="1" x14ac:dyDescent="0.3">
      <c r="A42" s="33">
        <v>54199</v>
      </c>
      <c r="B42" s="34" t="s">
        <v>44</v>
      </c>
      <c r="C42" s="35">
        <v>479395</v>
      </c>
      <c r="D42" s="35">
        <v>-38368.46</v>
      </c>
      <c r="E42" s="18">
        <f t="shared" si="3"/>
        <v>441026.54</v>
      </c>
      <c r="F42" s="18">
        <v>411184.39</v>
      </c>
      <c r="G42" s="18">
        <v>13109.59</v>
      </c>
      <c r="H42" s="36">
        <f t="shared" si="0"/>
        <v>16732.559999999965</v>
      </c>
    </row>
    <row r="43" spans="1:8" ht="15.75" thickBot="1" x14ac:dyDescent="0.3">
      <c r="A43" s="37"/>
      <c r="B43" s="38" t="s">
        <v>45</v>
      </c>
      <c r="C43" s="39">
        <f>SUM(C25:C42)</f>
        <v>678035</v>
      </c>
      <c r="D43" s="39">
        <f>SUM(D25:D42)</f>
        <v>-3723.8900000000067</v>
      </c>
      <c r="E43" s="39">
        <f>SUM(E25:E42)</f>
        <v>674311.10999999987</v>
      </c>
      <c r="F43" s="39">
        <f>SUM(F25:F42)</f>
        <v>596504.09</v>
      </c>
      <c r="G43" s="39">
        <f>SUM(G25:G42)</f>
        <v>31999.16</v>
      </c>
      <c r="H43" s="40">
        <f t="shared" si="0"/>
        <v>45807.859999999899</v>
      </c>
    </row>
    <row r="44" spans="1:8" x14ac:dyDescent="0.25">
      <c r="A44" s="41"/>
      <c r="B44" s="42"/>
      <c r="C44" s="43"/>
      <c r="D44" s="44"/>
      <c r="E44" s="44"/>
      <c r="F44" s="44"/>
      <c r="G44" s="44"/>
      <c r="H44" s="45"/>
    </row>
    <row r="45" spans="1:8" x14ac:dyDescent="0.25">
      <c r="A45" s="41"/>
      <c r="B45" s="42"/>
      <c r="C45" s="43"/>
      <c r="D45" s="44"/>
      <c r="E45" s="44"/>
      <c r="F45" s="44"/>
      <c r="G45" s="44"/>
      <c r="H45" s="45"/>
    </row>
    <row r="46" spans="1:8" ht="15.75" thickBot="1" x14ac:dyDescent="0.3">
      <c r="A46" s="41"/>
      <c r="B46" s="42"/>
      <c r="C46" s="43"/>
      <c r="D46" s="44"/>
      <c r="E46" s="44"/>
      <c r="F46" s="44"/>
      <c r="G46" s="44"/>
      <c r="H46" s="45"/>
    </row>
    <row r="47" spans="1:8" ht="15.75" thickBot="1" x14ac:dyDescent="0.3">
      <c r="A47" s="7" t="s">
        <v>5</v>
      </c>
      <c r="B47" s="8" t="s">
        <v>6</v>
      </c>
      <c r="C47" s="46" t="s">
        <v>7</v>
      </c>
      <c r="D47" s="10" t="s">
        <v>8</v>
      </c>
      <c r="E47" s="47" t="s">
        <v>46</v>
      </c>
      <c r="F47" s="48" t="s">
        <v>10</v>
      </c>
      <c r="G47" s="49" t="s">
        <v>11</v>
      </c>
      <c r="H47" s="50" t="s">
        <v>12</v>
      </c>
    </row>
    <row r="48" spans="1:8" x14ac:dyDescent="0.25">
      <c r="A48" s="51">
        <v>54201</v>
      </c>
      <c r="B48" s="52" t="s">
        <v>47</v>
      </c>
      <c r="C48" s="53">
        <v>191255</v>
      </c>
      <c r="D48" s="53">
        <v>-10899.01</v>
      </c>
      <c r="E48" s="18">
        <f t="shared" ref="E48:E51" si="4">+C48+D48</f>
        <v>180355.99</v>
      </c>
      <c r="F48" s="18">
        <v>112934.47</v>
      </c>
      <c r="G48" s="18">
        <f>23689.96-3698.3</f>
        <v>19991.66</v>
      </c>
      <c r="H48" s="54">
        <f t="shared" si="0"/>
        <v>47429.859999999986</v>
      </c>
    </row>
    <row r="49" spans="1:8" x14ac:dyDescent="0.25">
      <c r="A49" s="20">
        <v>54202</v>
      </c>
      <c r="B49" s="21" t="s">
        <v>48</v>
      </c>
      <c r="C49" s="22">
        <v>43800</v>
      </c>
      <c r="D49" s="22">
        <v>-622.74</v>
      </c>
      <c r="E49" s="18">
        <f t="shared" si="4"/>
        <v>43177.26</v>
      </c>
      <c r="F49" s="18">
        <v>16177.51</v>
      </c>
      <c r="G49" s="18">
        <v>12207.36</v>
      </c>
      <c r="H49" s="19">
        <f t="shared" si="0"/>
        <v>14792.39</v>
      </c>
    </row>
    <row r="50" spans="1:8" x14ac:dyDescent="0.25">
      <c r="A50" s="33">
        <v>54203</v>
      </c>
      <c r="B50" s="34" t="s">
        <v>49</v>
      </c>
      <c r="C50" s="35">
        <v>188800</v>
      </c>
      <c r="D50" s="35">
        <v>-24171.48</v>
      </c>
      <c r="E50" s="18">
        <f t="shared" si="4"/>
        <v>164628.51999999999</v>
      </c>
      <c r="F50" s="18">
        <v>101934.86</v>
      </c>
      <c r="G50" s="18">
        <f>43168.84-23369.35</f>
        <v>19799.489999999998</v>
      </c>
      <c r="H50" s="36">
        <f t="shared" si="0"/>
        <v>42894.169999999991</v>
      </c>
    </row>
    <row r="51" spans="1:8" x14ac:dyDescent="0.25">
      <c r="A51" s="20">
        <v>54204</v>
      </c>
      <c r="B51" s="21" t="s">
        <v>50</v>
      </c>
      <c r="C51" s="22">
        <v>1200</v>
      </c>
      <c r="D51" s="22">
        <v>-274.57</v>
      </c>
      <c r="E51" s="18">
        <f t="shared" si="4"/>
        <v>925.43000000000006</v>
      </c>
      <c r="F51" s="18">
        <v>25.43</v>
      </c>
      <c r="G51" s="18">
        <v>600</v>
      </c>
      <c r="H51" s="55">
        <f t="shared" si="0"/>
        <v>300.00000000000011</v>
      </c>
    </row>
    <row r="52" spans="1:8" x14ac:dyDescent="0.25">
      <c r="A52" s="56"/>
      <c r="B52" s="26" t="s">
        <v>45</v>
      </c>
      <c r="C52" s="28">
        <f>SUM(C48:C51)</f>
        <v>425055</v>
      </c>
      <c r="D52" s="28">
        <f>SUM(D48:D51)</f>
        <v>-35967.799999999996</v>
      </c>
      <c r="E52" s="28">
        <f>SUM(E48:E51)</f>
        <v>389087.2</v>
      </c>
      <c r="F52" s="28">
        <f>SUM(F48:F51)</f>
        <v>231072.27</v>
      </c>
      <c r="G52" s="28">
        <f>SUM(G48:G51)</f>
        <v>52598.509999999995</v>
      </c>
      <c r="H52" s="57">
        <f t="shared" si="0"/>
        <v>105416.42000000003</v>
      </c>
    </row>
    <row r="53" spans="1:8" x14ac:dyDescent="0.25">
      <c r="A53" s="20">
        <v>54301</v>
      </c>
      <c r="B53" s="21" t="s">
        <v>51</v>
      </c>
      <c r="C53" s="22">
        <v>35000</v>
      </c>
      <c r="D53" s="22">
        <v>-513.91999999999996</v>
      </c>
      <c r="E53" s="18">
        <f t="shared" ref="E53:E63" si="5">+C53+D53</f>
        <v>34486.080000000002</v>
      </c>
      <c r="F53" s="18">
        <v>20079.02</v>
      </c>
      <c r="G53" s="18">
        <v>8352.58</v>
      </c>
      <c r="H53" s="55">
        <f t="shared" si="0"/>
        <v>6054.4800000000014</v>
      </c>
    </row>
    <row r="54" spans="1:8" x14ac:dyDescent="0.25">
      <c r="A54" s="16">
        <v>54302</v>
      </c>
      <c r="B54" s="17" t="s">
        <v>52</v>
      </c>
      <c r="C54" s="18">
        <v>63000</v>
      </c>
      <c r="D54" s="18">
        <v>338.06</v>
      </c>
      <c r="E54" s="18">
        <f t="shared" si="5"/>
        <v>63338.06</v>
      </c>
      <c r="F54" s="18">
        <v>46932.74</v>
      </c>
      <c r="G54" s="18">
        <v>11110.52</v>
      </c>
      <c r="H54" s="19">
        <f t="shared" si="0"/>
        <v>5294.7999999999993</v>
      </c>
    </row>
    <row r="55" spans="1:8" x14ac:dyDescent="0.25">
      <c r="A55" s="20">
        <v>54304</v>
      </c>
      <c r="B55" s="21" t="s">
        <v>53</v>
      </c>
      <c r="C55" s="22">
        <v>2000</v>
      </c>
      <c r="D55" s="22">
        <v>-128.58000000000001</v>
      </c>
      <c r="E55" s="18">
        <f t="shared" si="5"/>
        <v>1871.42</v>
      </c>
      <c r="F55" s="18">
        <v>155.55000000000001</v>
      </c>
      <c r="G55" s="18">
        <v>715.87</v>
      </c>
      <c r="H55" s="55">
        <f t="shared" si="0"/>
        <v>1000.0000000000001</v>
      </c>
    </row>
    <row r="56" spans="1:8" x14ac:dyDescent="0.25">
      <c r="A56" s="20">
        <v>54305</v>
      </c>
      <c r="B56" s="21" t="s">
        <v>54</v>
      </c>
      <c r="C56" s="22">
        <v>74200</v>
      </c>
      <c r="D56" s="22">
        <v>-10084.76</v>
      </c>
      <c r="E56" s="18">
        <f t="shared" si="5"/>
        <v>64115.24</v>
      </c>
      <c r="F56" s="18">
        <v>1021.25</v>
      </c>
      <c r="G56" s="18">
        <v>32334.99</v>
      </c>
      <c r="H56" s="55">
        <f t="shared" si="0"/>
        <v>30758.999999999996</v>
      </c>
    </row>
    <row r="57" spans="1:8" x14ac:dyDescent="0.25">
      <c r="A57" s="20">
        <v>54307</v>
      </c>
      <c r="B57" s="21" t="s">
        <v>55</v>
      </c>
      <c r="C57" s="22">
        <v>13000</v>
      </c>
      <c r="D57" s="22">
        <v>-1246</v>
      </c>
      <c r="E57" s="18">
        <f t="shared" si="5"/>
        <v>11754</v>
      </c>
      <c r="F57" s="18">
        <v>6087.36</v>
      </c>
      <c r="G57" s="18">
        <v>3010.32</v>
      </c>
      <c r="H57" s="55">
        <f t="shared" si="0"/>
        <v>2656.32</v>
      </c>
    </row>
    <row r="58" spans="1:8" x14ac:dyDescent="0.25">
      <c r="A58" s="20">
        <v>54308</v>
      </c>
      <c r="B58" s="21" t="s">
        <v>56</v>
      </c>
      <c r="C58" s="22">
        <v>0</v>
      </c>
      <c r="D58" s="22">
        <v>1266</v>
      </c>
      <c r="E58" s="18">
        <f t="shared" si="5"/>
        <v>1266</v>
      </c>
      <c r="F58" s="18">
        <v>1266</v>
      </c>
      <c r="G58" s="18">
        <v>0</v>
      </c>
      <c r="H58" s="55">
        <f t="shared" si="0"/>
        <v>0</v>
      </c>
    </row>
    <row r="59" spans="1:8" x14ac:dyDescent="0.25">
      <c r="A59" s="20">
        <v>54313</v>
      </c>
      <c r="B59" s="21" t="s">
        <v>57</v>
      </c>
      <c r="C59" s="22">
        <v>33900</v>
      </c>
      <c r="D59" s="22">
        <v>-4073.88</v>
      </c>
      <c r="E59" s="18">
        <f t="shared" si="5"/>
        <v>29826.12</v>
      </c>
      <c r="F59" s="18">
        <v>8143.3</v>
      </c>
      <c r="G59" s="18">
        <v>12284.52</v>
      </c>
      <c r="H59" s="55">
        <f t="shared" si="0"/>
        <v>9398.2999999999993</v>
      </c>
    </row>
    <row r="60" spans="1:8" x14ac:dyDescent="0.25">
      <c r="A60" s="20">
        <v>54314</v>
      </c>
      <c r="B60" s="21" t="s">
        <v>58</v>
      </c>
      <c r="C60" s="22">
        <v>47000</v>
      </c>
      <c r="D60" s="22">
        <v>8104.61</v>
      </c>
      <c r="E60" s="18">
        <f t="shared" si="5"/>
        <v>55104.61</v>
      </c>
      <c r="F60" s="18">
        <v>9280.61</v>
      </c>
      <c r="G60" s="18">
        <v>10798</v>
      </c>
      <c r="H60" s="55">
        <f t="shared" si="0"/>
        <v>35026</v>
      </c>
    </row>
    <row r="61" spans="1:8" x14ac:dyDescent="0.25">
      <c r="A61" s="20">
        <v>54316</v>
      </c>
      <c r="B61" s="21" t="s">
        <v>59</v>
      </c>
      <c r="C61" s="22">
        <v>24000</v>
      </c>
      <c r="D61" s="22">
        <v>48.92</v>
      </c>
      <c r="E61" s="18">
        <f t="shared" si="5"/>
        <v>24048.92</v>
      </c>
      <c r="F61" s="18">
        <v>21303.06</v>
      </c>
      <c r="G61" s="18">
        <v>1767.2</v>
      </c>
      <c r="H61" s="55">
        <f t="shared" si="0"/>
        <v>978.6599999999969</v>
      </c>
    </row>
    <row r="62" spans="1:8" x14ac:dyDescent="0.25">
      <c r="A62" s="20">
        <v>54317</v>
      </c>
      <c r="B62" s="21" t="s">
        <v>60</v>
      </c>
      <c r="C62" s="22">
        <v>584880</v>
      </c>
      <c r="D62" s="22"/>
      <c r="E62" s="18">
        <f t="shared" si="5"/>
        <v>584880</v>
      </c>
      <c r="F62" s="18">
        <v>584872.92000000004</v>
      </c>
      <c r="G62" s="18">
        <v>3.54</v>
      </c>
      <c r="H62" s="55">
        <f t="shared" si="0"/>
        <v>3.5399999999580904</v>
      </c>
    </row>
    <row r="63" spans="1:8" x14ac:dyDescent="0.25">
      <c r="A63" s="20">
        <v>54399</v>
      </c>
      <c r="B63" s="21" t="s">
        <v>61</v>
      </c>
      <c r="C63" s="22">
        <v>49280</v>
      </c>
      <c r="D63" s="22">
        <v>154754.46</v>
      </c>
      <c r="E63" s="18">
        <f t="shared" si="5"/>
        <v>204034.46</v>
      </c>
      <c r="F63" s="18">
        <v>42121.46</v>
      </c>
      <c r="G63" s="18">
        <v>2869</v>
      </c>
      <c r="H63" s="55">
        <f t="shared" si="0"/>
        <v>159044</v>
      </c>
    </row>
    <row r="64" spans="1:8" x14ac:dyDescent="0.25">
      <c r="A64" s="56"/>
      <c r="B64" s="26" t="s">
        <v>45</v>
      </c>
      <c r="C64" s="28">
        <f>SUM(C53:C63)</f>
        <v>926260</v>
      </c>
      <c r="D64" s="28">
        <f>SUM(D53:D63)</f>
        <v>148464.91</v>
      </c>
      <c r="E64" s="28">
        <f>SUM(E53:E63)</f>
        <v>1074724.9099999999</v>
      </c>
      <c r="F64" s="28">
        <f>SUM(F53:F63)</f>
        <v>741263.27</v>
      </c>
      <c r="G64" s="28">
        <f>SUM(G53:G63)</f>
        <v>83246.539999999994</v>
      </c>
      <c r="H64" s="57">
        <f t="shared" si="0"/>
        <v>250215.09999999992</v>
      </c>
    </row>
    <row r="65" spans="1:9" x14ac:dyDescent="0.25">
      <c r="A65" s="20">
        <v>54402</v>
      </c>
      <c r="B65" s="21" t="s">
        <v>62</v>
      </c>
      <c r="C65" s="22">
        <v>8000</v>
      </c>
      <c r="D65" s="22">
        <v>284.13</v>
      </c>
      <c r="E65" s="18">
        <f t="shared" ref="E65:E67" si="6">+C65+D65</f>
        <v>8284.1299999999992</v>
      </c>
      <c r="F65" s="18">
        <v>5563.98</v>
      </c>
      <c r="G65" s="22">
        <v>0</v>
      </c>
      <c r="H65" s="55">
        <f t="shared" si="0"/>
        <v>2720.1499999999996</v>
      </c>
    </row>
    <row r="66" spans="1:9" x14ac:dyDescent="0.25">
      <c r="A66" s="20">
        <v>54403</v>
      </c>
      <c r="B66" s="21" t="s">
        <v>63</v>
      </c>
      <c r="C66" s="22">
        <v>11460</v>
      </c>
      <c r="D66" s="22"/>
      <c r="E66" s="18">
        <f t="shared" si="6"/>
        <v>11460</v>
      </c>
      <c r="F66" s="18">
        <v>4881</v>
      </c>
      <c r="G66" s="18">
        <v>2362</v>
      </c>
      <c r="H66" s="55">
        <f t="shared" si="0"/>
        <v>4217</v>
      </c>
    </row>
    <row r="67" spans="1:9" x14ac:dyDescent="0.25">
      <c r="A67" s="20">
        <v>54404</v>
      </c>
      <c r="B67" s="21" t="s">
        <v>64</v>
      </c>
      <c r="C67" s="22">
        <v>20000</v>
      </c>
      <c r="D67" s="22">
        <v>13875</v>
      </c>
      <c r="E67" s="18">
        <f t="shared" si="6"/>
        <v>33875</v>
      </c>
      <c r="F67" s="18">
        <v>30370</v>
      </c>
      <c r="G67" s="18">
        <v>0</v>
      </c>
      <c r="H67" s="55">
        <f t="shared" si="0"/>
        <v>3505</v>
      </c>
    </row>
    <row r="68" spans="1:9" x14ac:dyDescent="0.25">
      <c r="A68" s="56"/>
      <c r="B68" s="26" t="s">
        <v>45</v>
      </c>
      <c r="C68" s="28">
        <f>SUM(C65:C67)</f>
        <v>39460</v>
      </c>
      <c r="D68" s="28">
        <f>SUM(D65:D67)</f>
        <v>14159.13</v>
      </c>
      <c r="E68" s="28">
        <f>SUM(E65:E67)</f>
        <v>53619.13</v>
      </c>
      <c r="F68" s="28">
        <f>SUM(F65:F67)</f>
        <v>40814.979999999996</v>
      </c>
      <c r="G68" s="28">
        <f>SUM(G65:G67)</f>
        <v>2362</v>
      </c>
      <c r="H68" s="57">
        <f t="shared" si="0"/>
        <v>10442.150000000001</v>
      </c>
    </row>
    <row r="69" spans="1:9" x14ac:dyDescent="0.25">
      <c r="A69" s="20">
        <v>54505</v>
      </c>
      <c r="B69" s="21" t="s">
        <v>65</v>
      </c>
      <c r="C69" s="22">
        <v>4000</v>
      </c>
      <c r="D69" s="22"/>
      <c r="E69" s="18">
        <f t="shared" ref="E69:E70" si="7">+C69+D69</f>
        <v>4000</v>
      </c>
      <c r="F69" s="18">
        <v>0</v>
      </c>
      <c r="G69" s="18">
        <v>2000</v>
      </c>
      <c r="H69" s="55">
        <f t="shared" si="0"/>
        <v>2000</v>
      </c>
    </row>
    <row r="70" spans="1:9" x14ac:dyDescent="0.25">
      <c r="A70" s="20">
        <v>54599</v>
      </c>
      <c r="B70" s="21" t="s">
        <v>66</v>
      </c>
      <c r="C70" s="22">
        <v>34100</v>
      </c>
      <c r="D70" s="22"/>
      <c r="E70" s="18">
        <f t="shared" si="7"/>
        <v>34100</v>
      </c>
      <c r="F70" s="18">
        <v>6000</v>
      </c>
      <c r="G70" s="18">
        <v>15500</v>
      </c>
      <c r="H70" s="55">
        <f t="shared" si="0"/>
        <v>12600</v>
      </c>
    </row>
    <row r="71" spans="1:9" x14ac:dyDescent="0.25">
      <c r="A71" s="56"/>
      <c r="B71" s="26" t="s">
        <v>45</v>
      </c>
      <c r="C71" s="28">
        <f>SUM(C69:C70)</f>
        <v>38100</v>
      </c>
      <c r="D71" s="28">
        <f>SUM(D69:D70)</f>
        <v>0</v>
      </c>
      <c r="E71" s="28">
        <f>SUM(E69:E70)</f>
        <v>38100</v>
      </c>
      <c r="F71" s="28">
        <f>SUM(F69:F70)</f>
        <v>6000</v>
      </c>
      <c r="G71" s="28">
        <f>SUM(G69:G70)</f>
        <v>17500</v>
      </c>
      <c r="H71" s="55">
        <f t="shared" si="0"/>
        <v>14600</v>
      </c>
    </row>
    <row r="72" spans="1:9" x14ac:dyDescent="0.25">
      <c r="A72" s="58"/>
      <c r="B72" s="26" t="s">
        <v>26</v>
      </c>
      <c r="C72" s="28">
        <f>+C71+C68+C64+C52+C43</f>
        <v>2106910</v>
      </c>
      <c r="D72" s="28">
        <f>+D71+D68+D64+D52+D43</f>
        <v>122932.35</v>
      </c>
      <c r="E72" s="29">
        <f>+E71+E68+E64+E52+E43</f>
        <v>2229842.3499999996</v>
      </c>
      <c r="F72" s="30">
        <f>+F71+F68+F64+F52+F43</f>
        <v>1615654.6099999999</v>
      </c>
      <c r="G72" s="59">
        <f>+G71+G68+G64+G52+G43</f>
        <v>187706.21</v>
      </c>
      <c r="H72" s="60">
        <f t="shared" si="0"/>
        <v>426481.5299999998</v>
      </c>
    </row>
    <row r="73" spans="1:9" x14ac:dyDescent="0.25">
      <c r="A73" s="20">
        <v>55599</v>
      </c>
      <c r="B73" s="21" t="s">
        <v>67</v>
      </c>
      <c r="C73" s="22">
        <v>3400</v>
      </c>
      <c r="D73" s="22"/>
      <c r="E73" s="18">
        <f>+C73+D73</f>
        <v>3400</v>
      </c>
      <c r="F73" s="18">
        <v>2718.64</v>
      </c>
      <c r="G73" s="18">
        <v>681.36</v>
      </c>
      <c r="H73" s="55">
        <f t="shared" si="0"/>
        <v>0</v>
      </c>
    </row>
    <row r="74" spans="1:9" x14ac:dyDescent="0.25">
      <c r="A74" s="56"/>
      <c r="B74" s="26" t="s">
        <v>45</v>
      </c>
      <c r="C74" s="28">
        <f>SUM(C73)</f>
        <v>3400</v>
      </c>
      <c r="D74" s="28">
        <f>SUM(D73)</f>
        <v>0</v>
      </c>
      <c r="E74" s="28">
        <f>SUM(E73)</f>
        <v>3400</v>
      </c>
      <c r="F74" s="28">
        <f>SUM(F73)</f>
        <v>2718.64</v>
      </c>
      <c r="G74" s="28">
        <f>SUM(G73)</f>
        <v>681.36</v>
      </c>
      <c r="H74" s="55">
        <f t="shared" si="0"/>
        <v>0</v>
      </c>
    </row>
    <row r="75" spans="1:9" x14ac:dyDescent="0.25">
      <c r="A75" s="20">
        <v>55601</v>
      </c>
      <c r="B75" s="21" t="s">
        <v>68</v>
      </c>
      <c r="C75" s="22">
        <v>47000</v>
      </c>
      <c r="D75" s="22">
        <v>1457.22</v>
      </c>
      <c r="E75" s="18">
        <f t="shared" ref="E75:E77" si="8">+C75+D75</f>
        <v>48457.22</v>
      </c>
      <c r="F75" s="18">
        <v>48457.22</v>
      </c>
      <c r="G75" s="18">
        <v>0</v>
      </c>
      <c r="H75" s="55">
        <f t="shared" ref="H75:H98" si="9">+E75-F75-G75</f>
        <v>0</v>
      </c>
    </row>
    <row r="76" spans="1:9" x14ac:dyDescent="0.25">
      <c r="A76" s="20">
        <v>55602</v>
      </c>
      <c r="B76" s="21" t="s">
        <v>69</v>
      </c>
      <c r="C76" s="22">
        <v>36000</v>
      </c>
      <c r="D76" s="22">
        <v>21149.56</v>
      </c>
      <c r="E76" s="18">
        <f t="shared" si="8"/>
        <v>57149.56</v>
      </c>
      <c r="F76" s="18">
        <v>57147.74</v>
      </c>
      <c r="G76" s="18">
        <v>1.82</v>
      </c>
      <c r="H76" s="55">
        <f t="shared" si="9"/>
        <v>-2.9110047705671604E-13</v>
      </c>
    </row>
    <row r="77" spans="1:9" x14ac:dyDescent="0.25">
      <c r="A77" s="20">
        <v>55603</v>
      </c>
      <c r="B77" s="21" t="s">
        <v>70</v>
      </c>
      <c r="C77" s="22">
        <v>25</v>
      </c>
      <c r="D77" s="22">
        <v>0</v>
      </c>
      <c r="E77" s="18">
        <f t="shared" si="8"/>
        <v>25</v>
      </c>
      <c r="F77" s="18">
        <v>25</v>
      </c>
      <c r="G77" s="22">
        <v>0</v>
      </c>
      <c r="H77" s="55">
        <f t="shared" si="9"/>
        <v>0</v>
      </c>
    </row>
    <row r="78" spans="1:9" x14ac:dyDescent="0.25">
      <c r="A78" s="56"/>
      <c r="B78" s="26" t="s">
        <v>45</v>
      </c>
      <c r="C78" s="28">
        <f>SUM(C75:C77)</f>
        <v>83025</v>
      </c>
      <c r="D78" s="28">
        <f>SUM(D75:D76)</f>
        <v>22606.780000000002</v>
      </c>
      <c r="E78" s="28">
        <f>SUM(E75:E77)</f>
        <v>105631.78</v>
      </c>
      <c r="F78" s="28">
        <f>SUM(F75:F77)</f>
        <v>105629.95999999999</v>
      </c>
      <c r="G78" s="28">
        <f>SUM(G75:G77)</f>
        <v>1.82</v>
      </c>
      <c r="H78" s="55">
        <f t="shared" si="9"/>
        <v>6.9848571371267099E-12</v>
      </c>
      <c r="I78" s="61"/>
    </row>
    <row r="79" spans="1:9" x14ac:dyDescent="0.25">
      <c r="A79" s="58"/>
      <c r="B79" s="26" t="s">
        <v>26</v>
      </c>
      <c r="C79" s="28">
        <f>+C78+C74</f>
        <v>86425</v>
      </c>
      <c r="D79" s="28">
        <f>+D74+D78</f>
        <v>22606.780000000002</v>
      </c>
      <c r="E79" s="29">
        <f>+E78+E74</f>
        <v>109031.78</v>
      </c>
      <c r="F79" s="30">
        <f>+F78+F74</f>
        <v>108348.59999999999</v>
      </c>
      <c r="G79" s="59">
        <f>+G74+G78</f>
        <v>683.18000000000006</v>
      </c>
      <c r="H79" s="60">
        <f t="shared" si="9"/>
        <v>7.503331289626658E-12</v>
      </c>
      <c r="I79" s="61"/>
    </row>
    <row r="80" spans="1:9" x14ac:dyDescent="0.25">
      <c r="A80" s="20">
        <v>56303</v>
      </c>
      <c r="B80" s="21" t="s">
        <v>71</v>
      </c>
      <c r="C80" s="22">
        <v>4000</v>
      </c>
      <c r="D80" s="22"/>
      <c r="E80" s="18">
        <f t="shared" ref="E80:E81" si="10">+C80+D80</f>
        <v>4000</v>
      </c>
      <c r="F80" s="18"/>
      <c r="G80" s="22">
        <v>2000</v>
      </c>
      <c r="H80" s="55">
        <f t="shared" si="9"/>
        <v>2000</v>
      </c>
      <c r="I80" s="62"/>
    </row>
    <row r="81" spans="1:9" x14ac:dyDescent="0.25">
      <c r="A81" s="20">
        <v>56304</v>
      </c>
      <c r="B81" s="21" t="s">
        <v>72</v>
      </c>
      <c r="C81" s="22">
        <v>0</v>
      </c>
      <c r="D81" s="22">
        <v>0</v>
      </c>
      <c r="E81" s="18">
        <f t="shared" si="10"/>
        <v>0</v>
      </c>
      <c r="F81" s="18">
        <v>0</v>
      </c>
      <c r="G81" s="22">
        <v>0</v>
      </c>
      <c r="H81" s="55">
        <f t="shared" si="9"/>
        <v>0</v>
      </c>
      <c r="I81" s="62"/>
    </row>
    <row r="82" spans="1:9" x14ac:dyDescent="0.25">
      <c r="A82" s="56"/>
      <c r="B82" s="26" t="s">
        <v>45</v>
      </c>
      <c r="C82" s="28">
        <f>C81+C80</f>
        <v>4000</v>
      </c>
      <c r="D82" s="28">
        <f>SUM(D80:D81)</f>
        <v>0</v>
      </c>
      <c r="E82" s="28">
        <f>SUM(E80:E81)</f>
        <v>4000</v>
      </c>
      <c r="F82" s="28">
        <f>SUM(F80:F81)</f>
        <v>0</v>
      </c>
      <c r="G82" s="28">
        <f>SUM(G80)</f>
        <v>2000</v>
      </c>
      <c r="H82" s="57">
        <f t="shared" si="9"/>
        <v>2000</v>
      </c>
      <c r="I82" s="62"/>
    </row>
    <row r="83" spans="1:9" x14ac:dyDescent="0.25">
      <c r="A83" s="20">
        <v>56404</v>
      </c>
      <c r="B83" s="21" t="s">
        <v>73</v>
      </c>
      <c r="C83" s="22">
        <v>5500</v>
      </c>
      <c r="D83" s="22"/>
      <c r="E83" s="18">
        <f>+C83+D83</f>
        <v>5500</v>
      </c>
      <c r="F83" s="18">
        <v>5121.01</v>
      </c>
      <c r="G83" s="22">
        <v>378.99</v>
      </c>
      <c r="H83" s="55">
        <f t="shared" si="9"/>
        <v>0</v>
      </c>
      <c r="I83" s="62"/>
    </row>
    <row r="84" spans="1:9" ht="15.75" thickBot="1" x14ac:dyDescent="0.3">
      <c r="A84" s="63"/>
      <c r="B84" s="64" t="s">
        <v>45</v>
      </c>
      <c r="C84" s="65">
        <f>SUM(C83)</f>
        <v>5500</v>
      </c>
      <c r="D84" s="65">
        <f>SUM(D83)</f>
        <v>0</v>
      </c>
      <c r="E84" s="65">
        <f>SUM(E83)</f>
        <v>5500</v>
      </c>
      <c r="F84" s="65">
        <f>SUM(F83)</f>
        <v>5121.01</v>
      </c>
      <c r="G84" s="65">
        <f>SUM(G83)</f>
        <v>378.99</v>
      </c>
      <c r="H84" s="66">
        <f t="shared" si="9"/>
        <v>0</v>
      </c>
      <c r="I84" s="62"/>
    </row>
    <row r="85" spans="1:9" ht="15.75" thickBot="1" x14ac:dyDescent="0.3">
      <c r="A85" s="67"/>
      <c r="B85" s="68" t="s">
        <v>26</v>
      </c>
      <c r="C85" s="69">
        <f>+C82+C84</f>
        <v>9500</v>
      </c>
      <c r="D85" s="69">
        <f t="shared" ref="D85:H85" si="11">+D82+D84</f>
        <v>0</v>
      </c>
      <c r="E85" s="70">
        <f t="shared" si="11"/>
        <v>9500</v>
      </c>
      <c r="F85" s="71">
        <f t="shared" si="11"/>
        <v>5121.01</v>
      </c>
      <c r="G85" s="72">
        <f t="shared" si="11"/>
        <v>2378.9899999999998</v>
      </c>
      <c r="H85" s="73">
        <f t="shared" si="11"/>
        <v>2000</v>
      </c>
      <c r="I85" s="62"/>
    </row>
    <row r="86" spans="1:9" x14ac:dyDescent="0.25">
      <c r="A86" s="42"/>
      <c r="B86" s="42"/>
      <c r="C86" s="43"/>
      <c r="D86" s="44"/>
      <c r="E86" s="44"/>
      <c r="F86" s="44"/>
      <c r="G86" s="44"/>
      <c r="H86" s="44"/>
      <c r="I86" s="62"/>
    </row>
    <row r="87" spans="1:9" x14ac:dyDescent="0.25">
      <c r="A87" s="42"/>
      <c r="B87" s="42"/>
      <c r="C87" s="43"/>
      <c r="D87" s="44"/>
      <c r="E87" s="44"/>
      <c r="F87" s="44"/>
      <c r="G87" s="44"/>
      <c r="H87" s="44"/>
      <c r="I87" s="62"/>
    </row>
    <row r="88" spans="1:9" x14ac:dyDescent="0.25">
      <c r="A88" s="42"/>
      <c r="B88" s="42"/>
      <c r="C88" s="43"/>
      <c r="D88" s="44"/>
      <c r="E88" s="44"/>
      <c r="F88" s="44"/>
      <c r="G88" s="44"/>
      <c r="H88" s="44"/>
      <c r="I88" s="62"/>
    </row>
    <row r="89" spans="1:9" ht="15.75" thickBot="1" x14ac:dyDescent="0.3">
      <c r="A89" s="42"/>
      <c r="B89" s="42"/>
      <c r="C89" s="43"/>
      <c r="D89" s="44"/>
      <c r="E89" s="44"/>
      <c r="F89" s="44"/>
      <c r="G89" s="44"/>
      <c r="H89" s="44"/>
      <c r="I89" s="62"/>
    </row>
    <row r="90" spans="1:9" ht="15.75" thickBot="1" x14ac:dyDescent="0.3">
      <c r="A90" s="7" t="s">
        <v>5</v>
      </c>
      <c r="B90" s="8" t="s">
        <v>6</v>
      </c>
      <c r="C90" s="46" t="s">
        <v>7</v>
      </c>
      <c r="D90" s="10" t="s">
        <v>8</v>
      </c>
      <c r="E90" s="47" t="s">
        <v>46</v>
      </c>
      <c r="F90" s="48" t="s">
        <v>10</v>
      </c>
      <c r="G90" s="49" t="s">
        <v>11</v>
      </c>
      <c r="H90" s="50" t="s">
        <v>12</v>
      </c>
      <c r="I90" s="62"/>
    </row>
    <row r="91" spans="1:9" x14ac:dyDescent="0.25">
      <c r="A91" s="74">
        <v>61101</v>
      </c>
      <c r="B91" s="75" t="s">
        <v>74</v>
      </c>
      <c r="C91" s="76">
        <v>5000</v>
      </c>
      <c r="D91" s="76">
        <v>-2345</v>
      </c>
      <c r="E91" s="53">
        <f t="shared" ref="E91:E95" si="12">+C91+D91</f>
        <v>2655</v>
      </c>
      <c r="F91" s="53">
        <v>2655</v>
      </c>
      <c r="G91" s="76">
        <v>0</v>
      </c>
      <c r="H91" s="54">
        <f t="shared" si="9"/>
        <v>0</v>
      </c>
      <c r="I91" s="77"/>
    </row>
    <row r="92" spans="1:9" x14ac:dyDescent="0.25">
      <c r="A92" s="56">
        <v>61102</v>
      </c>
      <c r="B92" s="78" t="s">
        <v>75</v>
      </c>
      <c r="C92" s="23">
        <v>15000</v>
      </c>
      <c r="D92" s="23">
        <v>-8539.4599999999991</v>
      </c>
      <c r="E92" s="18">
        <f t="shared" si="12"/>
        <v>6460.5400000000009</v>
      </c>
      <c r="F92" s="18">
        <v>6460.54</v>
      </c>
      <c r="G92" s="23">
        <v>0</v>
      </c>
      <c r="H92" s="55">
        <f t="shared" si="9"/>
        <v>9.0949470177292824E-13</v>
      </c>
      <c r="I92" s="77"/>
    </row>
    <row r="93" spans="1:9" x14ac:dyDescent="0.25">
      <c r="A93" s="56">
        <v>61103</v>
      </c>
      <c r="B93" s="78" t="s">
        <v>76</v>
      </c>
      <c r="C93" s="23">
        <v>500</v>
      </c>
      <c r="D93" s="23">
        <v>-500</v>
      </c>
      <c r="E93" s="18">
        <f t="shared" si="12"/>
        <v>0</v>
      </c>
      <c r="F93" s="18">
        <v>0</v>
      </c>
      <c r="G93" s="23">
        <v>0</v>
      </c>
      <c r="H93" s="55">
        <f t="shared" si="9"/>
        <v>0</v>
      </c>
      <c r="I93" s="77"/>
    </row>
    <row r="94" spans="1:9" x14ac:dyDescent="0.25">
      <c r="A94" s="56">
        <v>61104</v>
      </c>
      <c r="B94" s="78" t="s">
        <v>77</v>
      </c>
      <c r="C94" s="23">
        <v>15055</v>
      </c>
      <c r="D94" s="23">
        <v>-12241.73</v>
      </c>
      <c r="E94" s="18">
        <f t="shared" si="12"/>
        <v>2813.2700000000004</v>
      </c>
      <c r="F94" s="18">
        <v>1044.1199999999999</v>
      </c>
      <c r="G94" s="23">
        <v>0</v>
      </c>
      <c r="H94" s="55">
        <f t="shared" si="9"/>
        <v>1769.1500000000005</v>
      </c>
      <c r="I94" s="77"/>
    </row>
    <row r="95" spans="1:9" x14ac:dyDescent="0.25">
      <c r="A95" s="20">
        <v>61108</v>
      </c>
      <c r="B95" s="21" t="s">
        <v>42</v>
      </c>
      <c r="C95" s="22">
        <v>1000</v>
      </c>
      <c r="D95" s="22">
        <v>-28.1</v>
      </c>
      <c r="E95" s="18">
        <f t="shared" si="12"/>
        <v>971.9</v>
      </c>
      <c r="F95" s="18">
        <v>942.76</v>
      </c>
      <c r="G95" s="22">
        <v>0</v>
      </c>
      <c r="H95" s="55">
        <f t="shared" si="9"/>
        <v>29.139999999999986</v>
      </c>
      <c r="I95" s="62"/>
    </row>
    <row r="96" spans="1:9" x14ac:dyDescent="0.25">
      <c r="A96" s="56"/>
      <c r="B96" s="26" t="s">
        <v>45</v>
      </c>
      <c r="C96" s="28">
        <f>SUM(C91:C95)</f>
        <v>36555</v>
      </c>
      <c r="D96" s="28">
        <f>SUM(D91:D95)</f>
        <v>-23654.289999999997</v>
      </c>
      <c r="E96" s="28">
        <f>SUM(E91:E95)</f>
        <v>12900.710000000001</v>
      </c>
      <c r="F96" s="28">
        <f>SUM(F91:F95)</f>
        <v>11102.42</v>
      </c>
      <c r="G96" s="28">
        <f>SUM(G95)</f>
        <v>0</v>
      </c>
      <c r="H96" s="57">
        <f t="shared" si="9"/>
        <v>1798.2900000000009</v>
      </c>
      <c r="I96" s="62"/>
    </row>
    <row r="97" spans="1:9" x14ac:dyDescent="0.25">
      <c r="A97" s="20">
        <v>61403</v>
      </c>
      <c r="B97" s="21" t="s">
        <v>78</v>
      </c>
      <c r="C97" s="22">
        <v>0</v>
      </c>
      <c r="D97" s="22">
        <v>1047.51</v>
      </c>
      <c r="E97" s="18">
        <f>+C97+D97</f>
        <v>1047.51</v>
      </c>
      <c r="F97" s="22">
        <v>1047.51</v>
      </c>
      <c r="G97" s="22">
        <v>0</v>
      </c>
      <c r="H97" s="55">
        <f t="shared" si="9"/>
        <v>0</v>
      </c>
      <c r="I97" s="62"/>
    </row>
    <row r="98" spans="1:9" ht="15.75" thickBot="1" x14ac:dyDescent="0.3">
      <c r="A98" s="79"/>
      <c r="B98" s="80" t="s">
        <v>45</v>
      </c>
      <c r="C98" s="81">
        <f>+C97</f>
        <v>0</v>
      </c>
      <c r="D98" s="81">
        <f>+D97</f>
        <v>1047.51</v>
      </c>
      <c r="E98" s="82">
        <f>+E97</f>
        <v>1047.51</v>
      </c>
      <c r="F98" s="82">
        <f>+F97</f>
        <v>1047.51</v>
      </c>
      <c r="G98" s="82">
        <f>SUM(G97)</f>
        <v>0</v>
      </c>
      <c r="H98" s="83">
        <f t="shared" si="9"/>
        <v>0</v>
      </c>
      <c r="I98" s="62"/>
    </row>
    <row r="99" spans="1:9" ht="15.75" thickBot="1" x14ac:dyDescent="0.3">
      <c r="A99" s="84"/>
      <c r="B99" s="85" t="s">
        <v>26</v>
      </c>
      <c r="C99" s="86">
        <f>+C96+C98</f>
        <v>36555</v>
      </c>
      <c r="D99" s="86">
        <f>+D98+D96</f>
        <v>-22606.78</v>
      </c>
      <c r="E99" s="87">
        <f>+E98+E96</f>
        <v>13948.220000000001</v>
      </c>
      <c r="F99" s="88">
        <f>+F98+F96</f>
        <v>12149.93</v>
      </c>
      <c r="G99" s="89">
        <v>0</v>
      </c>
      <c r="H99" s="90">
        <f>+H98+H96</f>
        <v>1798.2900000000009</v>
      </c>
      <c r="I99" s="62"/>
    </row>
    <row r="100" spans="1:9" ht="15.75" thickBot="1" x14ac:dyDescent="0.3">
      <c r="A100" s="101"/>
      <c r="B100" s="38" t="s">
        <v>79</v>
      </c>
      <c r="C100" s="102">
        <f>+C99+C85+C79+C72+C24</f>
        <v>9475399</v>
      </c>
      <c r="D100" s="39">
        <f>+D99+D85+D79+D72+D24</f>
        <v>150000.00000000003</v>
      </c>
      <c r="E100" s="103">
        <f>+E24+E72+E79+E99+E85</f>
        <v>9625399</v>
      </c>
      <c r="F100" s="104">
        <f>+F24+F72+F79+F99+F85</f>
        <v>6845470.7499999981</v>
      </c>
      <c r="G100" s="105">
        <f>+G24+G72+G79+G99+G85</f>
        <v>375291.89999999997</v>
      </c>
      <c r="H100" s="106">
        <f>+E100-F100-G100</f>
        <v>2404636.350000002</v>
      </c>
      <c r="I100" s="107"/>
    </row>
    <row r="101" spans="1:9" x14ac:dyDescent="0.25">
      <c r="C101" s="99"/>
      <c r="D101" s="100"/>
      <c r="E101" s="100"/>
      <c r="F101" s="100"/>
      <c r="G101" s="100"/>
      <c r="H101" s="61"/>
      <c r="I101" s="107"/>
    </row>
    <row r="102" spans="1:9" x14ac:dyDescent="0.25">
      <c r="C102" s="99"/>
      <c r="D102" s="100"/>
      <c r="E102" s="100"/>
      <c r="F102" s="100"/>
      <c r="G102" s="100"/>
      <c r="H102" s="61"/>
      <c r="I102" s="107"/>
    </row>
  </sheetData>
  <mergeCells count="5">
    <mergeCell ref="B2:I2"/>
    <mergeCell ref="B3:F3"/>
    <mergeCell ref="B4:F4"/>
    <mergeCell ref="A6:H6"/>
    <mergeCell ref="B7:H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workbookViewId="0">
      <selection sqref="A1:I101"/>
    </sheetView>
  </sheetViews>
  <sheetFormatPr baseColWidth="10" defaultRowHeight="15" x14ac:dyDescent="0.25"/>
  <cols>
    <col min="2" max="2" width="32.140625" customWidth="1"/>
    <col min="3" max="3" width="14.85546875" customWidth="1"/>
    <col min="4" max="4" width="14.140625" customWidth="1"/>
    <col min="5" max="5" width="14" customWidth="1"/>
    <col min="6" max="6" width="14.28515625" customWidth="1"/>
    <col min="7" max="7" width="15.5703125" customWidth="1"/>
    <col min="8" max="8" width="15.28515625" customWidth="1"/>
  </cols>
  <sheetData>
    <row r="1" spans="1:9" x14ac:dyDescent="0.25">
      <c r="C1" s="1"/>
    </row>
    <row r="2" spans="1:9" ht="15.75" x14ac:dyDescent="0.25">
      <c r="A2" s="2"/>
      <c r="B2" s="110" t="s">
        <v>0</v>
      </c>
      <c r="C2" s="110"/>
      <c r="D2" s="110"/>
      <c r="E2" s="110"/>
      <c r="F2" s="110"/>
      <c r="G2" s="110"/>
      <c r="H2" s="110"/>
      <c r="I2" s="110"/>
    </row>
    <row r="3" spans="1:9" x14ac:dyDescent="0.25">
      <c r="A3" s="2"/>
      <c r="B3" s="111" t="s">
        <v>1</v>
      </c>
      <c r="C3" s="111"/>
      <c r="D3" s="111"/>
      <c r="E3" s="111"/>
      <c r="F3" s="111"/>
      <c r="G3" s="3"/>
      <c r="H3" s="2"/>
      <c r="I3" s="2"/>
    </row>
    <row r="4" spans="1:9" x14ac:dyDescent="0.25">
      <c r="A4" s="4"/>
      <c r="B4" s="111" t="s">
        <v>2</v>
      </c>
      <c r="C4" s="111"/>
      <c r="D4" s="111"/>
      <c r="E4" s="111"/>
      <c r="F4" s="111"/>
      <c r="G4" s="3"/>
      <c r="H4" s="4"/>
      <c r="I4" s="2"/>
    </row>
    <row r="5" spans="1:9" x14ac:dyDescent="0.25">
      <c r="A5" s="4"/>
      <c r="B5" s="3"/>
      <c r="C5" s="5"/>
      <c r="D5" s="3"/>
      <c r="E5" s="3"/>
      <c r="F5" s="3"/>
      <c r="G5" s="3"/>
      <c r="H5" s="4"/>
      <c r="I5" s="2"/>
    </row>
    <row r="6" spans="1:9" x14ac:dyDescent="0.25">
      <c r="A6" s="112" t="s">
        <v>3</v>
      </c>
      <c r="B6" s="112"/>
      <c r="C6" s="112"/>
      <c r="D6" s="112"/>
      <c r="E6" s="112"/>
      <c r="F6" s="112"/>
      <c r="G6" s="112"/>
      <c r="H6" s="112"/>
      <c r="I6" s="2"/>
    </row>
    <row r="7" spans="1:9" ht="15.75" thickBot="1" x14ac:dyDescent="0.3">
      <c r="A7" s="6"/>
      <c r="B7" s="112" t="s">
        <v>81</v>
      </c>
      <c r="C7" s="112"/>
      <c r="D7" s="112"/>
      <c r="E7" s="112"/>
      <c r="F7" s="112"/>
      <c r="G7" s="112"/>
      <c r="H7" s="112"/>
      <c r="I7" s="2"/>
    </row>
    <row r="8" spans="1:9" ht="15.75" thickBot="1" x14ac:dyDescent="0.3">
      <c r="A8" s="7" t="s">
        <v>5</v>
      </c>
      <c r="B8" s="8" t="s">
        <v>6</v>
      </c>
      <c r="C8" s="9" t="s">
        <v>7</v>
      </c>
      <c r="D8" s="10" t="s">
        <v>8</v>
      </c>
      <c r="E8" s="11" t="s">
        <v>9</v>
      </c>
      <c r="F8" s="12" t="s">
        <v>10</v>
      </c>
      <c r="G8" s="13" t="s">
        <v>11</v>
      </c>
      <c r="H8" s="14" t="s">
        <v>12</v>
      </c>
      <c r="I8" s="15"/>
    </row>
    <row r="9" spans="1:9" x14ac:dyDescent="0.25">
      <c r="A9" s="16">
        <v>51101</v>
      </c>
      <c r="B9" s="17" t="s">
        <v>13</v>
      </c>
      <c r="C9" s="18">
        <v>4981600</v>
      </c>
      <c r="D9" s="18">
        <v>-84599.9</v>
      </c>
      <c r="E9" s="18">
        <f>+C9+D9</f>
        <v>4897000.0999999996</v>
      </c>
      <c r="F9" s="18">
        <v>3965947.76</v>
      </c>
      <c r="G9" s="18">
        <f>147015.4-46233.86</f>
        <v>100781.54</v>
      </c>
      <c r="H9" s="19">
        <f t="shared" ref="H9:H74" si="0">+E9-F9-G9</f>
        <v>830270.79999999981</v>
      </c>
    </row>
    <row r="10" spans="1:9" x14ac:dyDescent="0.25">
      <c r="A10" s="20">
        <v>51103</v>
      </c>
      <c r="B10" s="21" t="s">
        <v>14</v>
      </c>
      <c r="C10" s="22">
        <v>181800</v>
      </c>
      <c r="D10" s="18"/>
      <c r="E10" s="18">
        <f t="shared" ref="E10:E23" si="1">+C10+D10</f>
        <v>181800</v>
      </c>
      <c r="F10" s="18"/>
      <c r="G10" s="18"/>
      <c r="H10" s="19">
        <f t="shared" si="0"/>
        <v>181800</v>
      </c>
    </row>
    <row r="11" spans="1:9" x14ac:dyDescent="0.25">
      <c r="A11" s="20">
        <v>51107</v>
      </c>
      <c r="B11" s="21" t="s">
        <v>15</v>
      </c>
      <c r="C11" s="22">
        <v>0</v>
      </c>
      <c r="D11" s="22">
        <v>115919.88</v>
      </c>
      <c r="E11" s="18">
        <f t="shared" si="1"/>
        <v>115919.88</v>
      </c>
      <c r="F11" s="18">
        <v>114800</v>
      </c>
      <c r="G11" s="18">
        <v>1119.8800000000001</v>
      </c>
      <c r="H11" s="19">
        <f t="shared" si="0"/>
        <v>4.5474735088646412E-12</v>
      </c>
    </row>
    <row r="12" spans="1:9" x14ac:dyDescent="0.25">
      <c r="A12" s="20">
        <v>51201</v>
      </c>
      <c r="B12" s="21" t="s">
        <v>16</v>
      </c>
      <c r="C12" s="22">
        <v>1068700</v>
      </c>
      <c r="D12" s="23">
        <v>-40524.949999999997</v>
      </c>
      <c r="E12" s="18">
        <f t="shared" si="1"/>
        <v>1028175.05</v>
      </c>
      <c r="F12" s="18">
        <v>788747.53</v>
      </c>
      <c r="G12" s="18">
        <f>89099.61-27078.69</f>
        <v>62020.92</v>
      </c>
      <c r="H12" s="19">
        <f t="shared" si="0"/>
        <v>177406.60000000003</v>
      </c>
    </row>
    <row r="13" spans="1:9" x14ac:dyDescent="0.25">
      <c r="A13" s="20">
        <v>51203</v>
      </c>
      <c r="B13" s="21" t="s">
        <v>14</v>
      </c>
      <c r="C13" s="22">
        <v>30600</v>
      </c>
      <c r="D13" s="22"/>
      <c r="E13" s="18">
        <f t="shared" si="1"/>
        <v>30600</v>
      </c>
      <c r="F13" s="18"/>
      <c r="G13" s="18"/>
      <c r="H13" s="19">
        <f t="shared" si="0"/>
        <v>30600</v>
      </c>
    </row>
    <row r="14" spans="1:9" x14ac:dyDescent="0.25">
      <c r="A14" s="20">
        <v>51207</v>
      </c>
      <c r="B14" s="21" t="s">
        <v>15</v>
      </c>
      <c r="C14" s="22">
        <v>0</v>
      </c>
      <c r="D14" s="22">
        <v>18600</v>
      </c>
      <c r="E14" s="18">
        <f t="shared" si="1"/>
        <v>18600</v>
      </c>
      <c r="F14" s="18">
        <v>18600</v>
      </c>
      <c r="G14" s="18"/>
      <c r="H14" s="19">
        <f t="shared" si="0"/>
        <v>0</v>
      </c>
    </row>
    <row r="15" spans="1:9" x14ac:dyDescent="0.25">
      <c r="A15" s="20">
        <v>51401</v>
      </c>
      <c r="B15" s="21" t="s">
        <v>17</v>
      </c>
      <c r="C15" s="22">
        <v>331890</v>
      </c>
      <c r="D15" s="22">
        <v>-12555.71</v>
      </c>
      <c r="E15" s="18">
        <f t="shared" si="1"/>
        <v>319334.28999999998</v>
      </c>
      <c r="F15" s="18">
        <v>242180.32</v>
      </c>
      <c r="G15" s="18">
        <f>31244.59-9422.29</f>
        <v>21822.3</v>
      </c>
      <c r="H15" s="19">
        <f t="shared" si="0"/>
        <v>55331.669999999969</v>
      </c>
    </row>
    <row r="16" spans="1:9" x14ac:dyDescent="0.25">
      <c r="A16" s="20">
        <v>51402</v>
      </c>
      <c r="B16" s="21" t="s">
        <v>18</v>
      </c>
      <c r="C16" s="22">
        <v>57985</v>
      </c>
      <c r="D16" s="22">
        <v>-2471.6</v>
      </c>
      <c r="E16" s="18">
        <f t="shared" si="1"/>
        <v>55513.4</v>
      </c>
      <c r="F16" s="18">
        <v>41479.660000000003</v>
      </c>
      <c r="G16" s="18">
        <f>6210.38-1797.45</f>
        <v>4412.93</v>
      </c>
      <c r="H16" s="19">
        <f t="shared" si="0"/>
        <v>9620.8099999999977</v>
      </c>
    </row>
    <row r="17" spans="1:8" x14ac:dyDescent="0.25">
      <c r="A17" s="20">
        <v>51501</v>
      </c>
      <c r="B17" s="21" t="s">
        <v>19</v>
      </c>
      <c r="C17" s="22">
        <v>320785</v>
      </c>
      <c r="D17" s="22">
        <v>34922.730000000003</v>
      </c>
      <c r="E17" s="18">
        <f t="shared" si="1"/>
        <v>355707.73</v>
      </c>
      <c r="F17" s="18">
        <v>268587.14</v>
      </c>
      <c r="G17" s="18">
        <f>36352.63-10984.72</f>
        <v>25367.909999999996</v>
      </c>
      <c r="H17" s="19">
        <f t="shared" si="0"/>
        <v>61752.679999999971</v>
      </c>
    </row>
    <row r="18" spans="1:8" x14ac:dyDescent="0.25">
      <c r="A18" s="20">
        <v>51502</v>
      </c>
      <c r="B18" s="21" t="s">
        <v>20</v>
      </c>
      <c r="C18" s="22">
        <v>72140</v>
      </c>
      <c r="D18" s="22">
        <v>6863.78</v>
      </c>
      <c r="E18" s="18">
        <f t="shared" si="1"/>
        <v>79003.78</v>
      </c>
      <c r="F18" s="18">
        <v>58079.17</v>
      </c>
      <c r="G18" s="18">
        <f>10031.31-2844.52</f>
        <v>7186.7899999999991</v>
      </c>
      <c r="H18" s="19">
        <f t="shared" si="0"/>
        <v>13737.820000000002</v>
      </c>
    </row>
    <row r="19" spans="1:8" x14ac:dyDescent="0.25">
      <c r="A19" s="20">
        <v>51601</v>
      </c>
      <c r="B19" s="21" t="s">
        <v>21</v>
      </c>
      <c r="C19" s="22">
        <v>46625</v>
      </c>
      <c r="D19" s="22">
        <v>4.12</v>
      </c>
      <c r="E19" s="18">
        <f t="shared" si="1"/>
        <v>46629.120000000003</v>
      </c>
      <c r="F19" s="18">
        <v>37746.97</v>
      </c>
      <c r="G19" s="18">
        <v>1110.6300000000001</v>
      </c>
      <c r="H19" s="19">
        <f t="shared" si="0"/>
        <v>7771.5200000000013</v>
      </c>
    </row>
    <row r="20" spans="1:8" x14ac:dyDescent="0.25">
      <c r="A20" s="20">
        <v>51701</v>
      </c>
      <c r="B20" s="21" t="s">
        <v>22</v>
      </c>
      <c r="C20" s="22">
        <v>54989</v>
      </c>
      <c r="D20" s="22">
        <v>-6466.49</v>
      </c>
      <c r="E20" s="18">
        <f t="shared" si="1"/>
        <v>48522.51</v>
      </c>
      <c r="F20" s="18">
        <v>47132.97</v>
      </c>
      <c r="G20" s="18">
        <f>1400.69-11.15</f>
        <v>1389.54</v>
      </c>
      <c r="H20" s="19">
        <f t="shared" si="0"/>
        <v>0</v>
      </c>
    </row>
    <row r="21" spans="1:8" x14ac:dyDescent="0.25">
      <c r="A21" s="20">
        <v>51702</v>
      </c>
      <c r="B21" s="21" t="s">
        <v>23</v>
      </c>
      <c r="C21" s="22"/>
      <c r="D21" s="22">
        <v>6455.34</v>
      </c>
      <c r="E21" s="18">
        <f t="shared" si="1"/>
        <v>6455.34</v>
      </c>
      <c r="F21" s="18">
        <v>6335.19</v>
      </c>
      <c r="G21" s="18">
        <v>120.15</v>
      </c>
      <c r="H21" s="19">
        <f t="shared" si="0"/>
        <v>5.4001247917767614E-13</v>
      </c>
    </row>
    <row r="22" spans="1:8" x14ac:dyDescent="0.25">
      <c r="A22" s="20">
        <v>51903</v>
      </c>
      <c r="B22" s="21" t="s">
        <v>24</v>
      </c>
      <c r="C22" s="22">
        <v>71895</v>
      </c>
      <c r="D22" s="22">
        <v>-9079.5499999999993</v>
      </c>
      <c r="E22" s="18">
        <f t="shared" si="1"/>
        <v>62815.45</v>
      </c>
      <c r="F22" s="18">
        <v>52225.95</v>
      </c>
      <c r="G22" s="18">
        <f>11449.17-9459.67</f>
        <v>1989.5</v>
      </c>
      <c r="H22" s="19">
        <f t="shared" si="0"/>
        <v>8600</v>
      </c>
    </row>
    <row r="23" spans="1:8" x14ac:dyDescent="0.25">
      <c r="A23" s="20">
        <v>51999</v>
      </c>
      <c r="B23" s="21" t="s">
        <v>25</v>
      </c>
      <c r="C23" s="22">
        <v>17000</v>
      </c>
      <c r="D23" s="22"/>
      <c r="E23" s="18">
        <f t="shared" si="1"/>
        <v>17000</v>
      </c>
      <c r="F23" s="18"/>
      <c r="G23" s="24"/>
      <c r="H23" s="19">
        <f t="shared" si="0"/>
        <v>17000</v>
      </c>
    </row>
    <row r="24" spans="1:8" x14ac:dyDescent="0.25">
      <c r="A24" s="25"/>
      <c r="B24" s="26" t="s">
        <v>26</v>
      </c>
      <c r="C24" s="27">
        <f t="shared" ref="C24:H24" si="2">SUM(C9:C23)</f>
        <v>7236009</v>
      </c>
      <c r="D24" s="28">
        <f t="shared" si="2"/>
        <v>27067.650000000027</v>
      </c>
      <c r="E24" s="29">
        <f t="shared" si="2"/>
        <v>7263076.6499999994</v>
      </c>
      <c r="F24" s="30">
        <f t="shared" si="2"/>
        <v>5641862.6600000001</v>
      </c>
      <c r="G24" s="31">
        <f>SUM(G9:G23)</f>
        <v>227322.09</v>
      </c>
      <c r="H24" s="32">
        <f t="shared" si="2"/>
        <v>1393891.9</v>
      </c>
    </row>
    <row r="25" spans="1:8" x14ac:dyDescent="0.25">
      <c r="A25" s="20">
        <v>54101</v>
      </c>
      <c r="B25" s="21" t="s">
        <v>27</v>
      </c>
      <c r="C25" s="22">
        <v>52905</v>
      </c>
      <c r="D25" s="22">
        <v>29978.34</v>
      </c>
      <c r="E25" s="18">
        <f t="shared" ref="E25:E42" si="3">+C25+D25</f>
        <v>82883.34</v>
      </c>
      <c r="F25" s="18">
        <v>69949.710000000006</v>
      </c>
      <c r="G25" s="18">
        <v>8111.93</v>
      </c>
      <c r="H25" s="19">
        <f t="shared" si="0"/>
        <v>4821.6999999999898</v>
      </c>
    </row>
    <row r="26" spans="1:8" x14ac:dyDescent="0.25">
      <c r="A26" s="20">
        <v>54103</v>
      </c>
      <c r="B26" s="21" t="s">
        <v>28</v>
      </c>
      <c r="C26" s="22">
        <v>1000</v>
      </c>
      <c r="D26" s="22">
        <v>-420.97</v>
      </c>
      <c r="E26" s="18">
        <f t="shared" si="3"/>
        <v>579.03</v>
      </c>
      <c r="F26" s="18">
        <v>133.03</v>
      </c>
      <c r="G26" s="18">
        <v>446</v>
      </c>
      <c r="H26" s="19">
        <f t="shared" si="0"/>
        <v>0</v>
      </c>
    </row>
    <row r="27" spans="1:8" x14ac:dyDescent="0.25">
      <c r="A27" s="20">
        <v>54104</v>
      </c>
      <c r="B27" s="21" t="s">
        <v>29</v>
      </c>
      <c r="C27" s="22">
        <v>53150</v>
      </c>
      <c r="D27" s="22">
        <v>-1631.8</v>
      </c>
      <c r="E27" s="18">
        <f t="shared" si="3"/>
        <v>51518.2</v>
      </c>
      <c r="F27" s="18">
        <v>40018.730000000003</v>
      </c>
      <c r="G27" s="18">
        <v>4164.3</v>
      </c>
      <c r="H27" s="19">
        <f t="shared" si="0"/>
        <v>7335.1699999999937</v>
      </c>
    </row>
    <row r="28" spans="1:8" x14ac:dyDescent="0.25">
      <c r="A28" s="20">
        <v>54105</v>
      </c>
      <c r="B28" s="21" t="s">
        <v>30</v>
      </c>
      <c r="C28" s="22">
        <v>17135</v>
      </c>
      <c r="D28" s="22">
        <v>7294.11</v>
      </c>
      <c r="E28" s="18">
        <f t="shared" si="3"/>
        <v>24429.11</v>
      </c>
      <c r="F28" s="18">
        <v>22731.119999999999</v>
      </c>
      <c r="G28" s="18">
        <v>596.39</v>
      </c>
      <c r="H28" s="19">
        <f t="shared" si="0"/>
        <v>1101.6000000000017</v>
      </c>
    </row>
    <row r="29" spans="1:8" x14ac:dyDescent="0.25">
      <c r="A29" s="20">
        <v>54106</v>
      </c>
      <c r="B29" s="21" t="s">
        <v>31</v>
      </c>
      <c r="C29" s="22">
        <v>150</v>
      </c>
      <c r="D29" s="22">
        <v>105.81</v>
      </c>
      <c r="E29" s="18">
        <f t="shared" si="3"/>
        <v>255.81</v>
      </c>
      <c r="F29" s="18">
        <v>255.81</v>
      </c>
      <c r="G29" s="18">
        <v>0</v>
      </c>
      <c r="H29" s="19">
        <f t="shared" si="0"/>
        <v>0</v>
      </c>
    </row>
    <row r="30" spans="1:8" x14ac:dyDescent="0.25">
      <c r="A30" s="20">
        <v>54107</v>
      </c>
      <c r="B30" s="21" t="s">
        <v>32</v>
      </c>
      <c r="C30" s="22">
        <v>10800</v>
      </c>
      <c r="D30" s="22">
        <v>2705.23</v>
      </c>
      <c r="E30" s="18">
        <f t="shared" si="3"/>
        <v>13505.23</v>
      </c>
      <c r="F30" s="18">
        <v>11364.62</v>
      </c>
      <c r="G30" s="18">
        <v>995.33</v>
      </c>
      <c r="H30" s="19">
        <f t="shared" si="0"/>
        <v>1145.2799999999988</v>
      </c>
    </row>
    <row r="31" spans="1:8" x14ac:dyDescent="0.25">
      <c r="A31" s="20">
        <v>54108</v>
      </c>
      <c r="B31" s="21" t="s">
        <v>33</v>
      </c>
      <c r="C31" s="22">
        <v>15000</v>
      </c>
      <c r="D31" s="22">
        <v>292.3</v>
      </c>
      <c r="E31" s="18">
        <f t="shared" si="3"/>
        <v>15292.3</v>
      </c>
      <c r="F31" s="18">
        <v>15285.65</v>
      </c>
      <c r="G31" s="18">
        <v>0</v>
      </c>
      <c r="H31" s="19">
        <f t="shared" si="0"/>
        <v>6.6499999999996362</v>
      </c>
    </row>
    <row r="32" spans="1:8" x14ac:dyDescent="0.25">
      <c r="A32" s="20">
        <v>54109</v>
      </c>
      <c r="B32" s="21" t="s">
        <v>34</v>
      </c>
      <c r="C32" s="22">
        <v>4000</v>
      </c>
      <c r="D32" s="22"/>
      <c r="E32" s="18">
        <f t="shared" si="3"/>
        <v>4000</v>
      </c>
      <c r="F32" s="18">
        <v>1464.72</v>
      </c>
      <c r="G32" s="18">
        <v>535.28</v>
      </c>
      <c r="H32" s="19">
        <f t="shared" si="0"/>
        <v>1999.9999999999998</v>
      </c>
    </row>
    <row r="33" spans="1:8" x14ac:dyDescent="0.25">
      <c r="A33" s="20">
        <v>54110</v>
      </c>
      <c r="B33" s="21" t="s">
        <v>35</v>
      </c>
      <c r="C33" s="22">
        <v>20025</v>
      </c>
      <c r="D33" s="22">
        <v>16.55</v>
      </c>
      <c r="E33" s="18">
        <f t="shared" si="3"/>
        <v>20041.55</v>
      </c>
      <c r="F33" s="18">
        <v>20033.97</v>
      </c>
      <c r="G33" s="18">
        <f>20004-19996.42</f>
        <v>7.5800000000017462</v>
      </c>
      <c r="H33" s="19">
        <f t="shared" si="0"/>
        <v>-3.637978807091713E-12</v>
      </c>
    </row>
    <row r="34" spans="1:8" x14ac:dyDescent="0.25">
      <c r="A34" s="20">
        <v>54111</v>
      </c>
      <c r="B34" s="21" t="s">
        <v>36</v>
      </c>
      <c r="C34" s="22">
        <v>400</v>
      </c>
      <c r="D34" s="22">
        <v>-91.91</v>
      </c>
      <c r="E34" s="18">
        <f t="shared" si="3"/>
        <v>308.09000000000003</v>
      </c>
      <c r="F34" s="18">
        <v>178.09</v>
      </c>
      <c r="G34" s="18">
        <v>0</v>
      </c>
      <c r="H34" s="19">
        <f t="shared" si="0"/>
        <v>130.00000000000003</v>
      </c>
    </row>
    <row r="35" spans="1:8" x14ac:dyDescent="0.25">
      <c r="A35" s="20">
        <v>54112</v>
      </c>
      <c r="B35" s="21" t="s">
        <v>37</v>
      </c>
      <c r="C35" s="22">
        <v>1400</v>
      </c>
      <c r="D35" s="22">
        <v>1506.66</v>
      </c>
      <c r="E35" s="18">
        <f t="shared" si="3"/>
        <v>2906.66</v>
      </c>
      <c r="F35" s="18">
        <v>2106.4499999999998</v>
      </c>
      <c r="G35" s="18">
        <v>773.91</v>
      </c>
      <c r="H35" s="19">
        <f t="shared" si="0"/>
        <v>26.300000000000068</v>
      </c>
    </row>
    <row r="36" spans="1:8" x14ac:dyDescent="0.25">
      <c r="A36" s="20">
        <v>54113</v>
      </c>
      <c r="B36" s="21" t="s">
        <v>38</v>
      </c>
      <c r="C36" s="22">
        <v>900</v>
      </c>
      <c r="D36" s="22">
        <v>-215.3</v>
      </c>
      <c r="E36" s="18">
        <f t="shared" si="3"/>
        <v>684.7</v>
      </c>
      <c r="F36" s="18">
        <v>554.1</v>
      </c>
      <c r="G36" s="18">
        <v>53.6</v>
      </c>
      <c r="H36" s="19">
        <f t="shared" si="0"/>
        <v>77.000000000000028</v>
      </c>
    </row>
    <row r="37" spans="1:8" x14ac:dyDescent="0.25">
      <c r="A37" s="20">
        <v>54114</v>
      </c>
      <c r="B37" s="21" t="s">
        <v>39</v>
      </c>
      <c r="C37" s="22">
        <v>5425</v>
      </c>
      <c r="D37" s="22">
        <v>-304.74</v>
      </c>
      <c r="E37" s="18">
        <f t="shared" si="3"/>
        <v>5120.26</v>
      </c>
      <c r="F37" s="18">
        <v>5028.28</v>
      </c>
      <c r="G37" s="18">
        <v>91.98</v>
      </c>
      <c r="H37" s="19">
        <f t="shared" si="0"/>
        <v>4.6895820560166612E-13</v>
      </c>
    </row>
    <row r="38" spans="1:8" x14ac:dyDescent="0.25">
      <c r="A38" s="20">
        <v>54115</v>
      </c>
      <c r="B38" s="21" t="s">
        <v>40</v>
      </c>
      <c r="C38" s="22">
        <v>12000</v>
      </c>
      <c r="D38" s="22">
        <v>278.16000000000003</v>
      </c>
      <c r="E38" s="18">
        <f t="shared" si="3"/>
        <v>12278.16</v>
      </c>
      <c r="F38" s="18">
        <v>9676.8799999999992</v>
      </c>
      <c r="G38" s="18">
        <v>2601.2800000000002</v>
      </c>
      <c r="H38" s="19">
        <f t="shared" si="0"/>
        <v>0</v>
      </c>
    </row>
    <row r="39" spans="1:8" x14ac:dyDescent="0.25">
      <c r="A39" s="20">
        <v>54116</v>
      </c>
      <c r="B39" s="21" t="s">
        <v>41</v>
      </c>
      <c r="C39" s="22">
        <v>600</v>
      </c>
      <c r="D39" s="22">
        <v>35</v>
      </c>
      <c r="E39" s="18">
        <f t="shared" si="3"/>
        <v>635</v>
      </c>
      <c r="F39" s="18">
        <v>494.3</v>
      </c>
      <c r="G39" s="18">
        <v>140.69999999999999</v>
      </c>
      <c r="H39" s="19">
        <f t="shared" si="0"/>
        <v>0</v>
      </c>
    </row>
    <row r="40" spans="1:8" x14ac:dyDescent="0.25">
      <c r="A40" s="20">
        <v>54118</v>
      </c>
      <c r="B40" s="21" t="s">
        <v>42</v>
      </c>
      <c r="C40" s="22">
        <v>1750</v>
      </c>
      <c r="D40" s="22">
        <v>1171.02</v>
      </c>
      <c r="E40" s="18">
        <f t="shared" si="3"/>
        <v>2921.02</v>
      </c>
      <c r="F40" s="18">
        <v>1931.51</v>
      </c>
      <c r="G40" s="18">
        <v>365.87</v>
      </c>
      <c r="H40" s="19">
        <f t="shared" si="0"/>
        <v>623.64</v>
      </c>
    </row>
    <row r="41" spans="1:8" x14ac:dyDescent="0.25">
      <c r="A41" s="20">
        <v>54119</v>
      </c>
      <c r="B41" s="21" t="s">
        <v>43</v>
      </c>
      <c r="C41" s="22">
        <v>2000</v>
      </c>
      <c r="D41" s="22">
        <v>1705.97</v>
      </c>
      <c r="E41" s="18">
        <f t="shared" si="3"/>
        <v>3705.9700000000003</v>
      </c>
      <c r="F41" s="18">
        <v>3122.35</v>
      </c>
      <c r="G41" s="18">
        <v>5.42</v>
      </c>
      <c r="H41" s="19">
        <f t="shared" si="0"/>
        <v>578.20000000000039</v>
      </c>
    </row>
    <row r="42" spans="1:8" ht="15.75" thickBot="1" x14ac:dyDescent="0.3">
      <c r="A42" s="33">
        <v>54199</v>
      </c>
      <c r="B42" s="34" t="s">
        <v>44</v>
      </c>
      <c r="C42" s="35">
        <v>479395</v>
      </c>
      <c r="D42" s="35">
        <v>-43196.22</v>
      </c>
      <c r="E42" s="18">
        <f t="shared" si="3"/>
        <v>436198.78</v>
      </c>
      <c r="F42" s="18">
        <v>407884.39</v>
      </c>
      <c r="G42" s="18">
        <v>13109.59</v>
      </c>
      <c r="H42" s="36">
        <f t="shared" si="0"/>
        <v>15204.800000000014</v>
      </c>
    </row>
    <row r="43" spans="1:8" ht="15.75" thickBot="1" x14ac:dyDescent="0.3">
      <c r="A43" s="37"/>
      <c r="B43" s="38" t="s">
        <v>45</v>
      </c>
      <c r="C43" s="39">
        <f>SUM(C25:C42)</f>
        <v>678035</v>
      </c>
      <c r="D43" s="39">
        <f>SUM(D25:D42)</f>
        <v>-771.7899999999936</v>
      </c>
      <c r="E43" s="39">
        <f>SUM(E25:E42)</f>
        <v>677263.21</v>
      </c>
      <c r="F43" s="39">
        <f>SUM(F25:F42)</f>
        <v>612213.71</v>
      </c>
      <c r="G43" s="39">
        <f>SUM(G25:G42)</f>
        <v>31999.16</v>
      </c>
      <c r="H43" s="40">
        <f t="shared" si="0"/>
        <v>33050.339999999997</v>
      </c>
    </row>
    <row r="44" spans="1:8" x14ac:dyDescent="0.25">
      <c r="A44" s="41"/>
      <c r="B44" s="42"/>
      <c r="C44" s="43"/>
      <c r="D44" s="44"/>
      <c r="E44" s="44"/>
      <c r="F44" s="44"/>
      <c r="G44" s="44"/>
      <c r="H44" s="45"/>
    </row>
    <row r="45" spans="1:8" x14ac:dyDescent="0.25">
      <c r="A45" s="41"/>
      <c r="B45" s="42"/>
      <c r="C45" s="43"/>
      <c r="D45" s="44"/>
      <c r="E45" s="44"/>
      <c r="F45" s="44"/>
      <c r="G45" s="44"/>
      <c r="H45" s="45"/>
    </row>
    <row r="46" spans="1:8" ht="15.75" thickBot="1" x14ac:dyDescent="0.3">
      <c r="A46" s="41"/>
      <c r="B46" s="42"/>
      <c r="C46" s="43"/>
      <c r="D46" s="44"/>
      <c r="E46" s="44"/>
      <c r="F46" s="44"/>
      <c r="G46" s="44"/>
      <c r="H46" s="45"/>
    </row>
    <row r="47" spans="1:8" ht="15.75" thickBot="1" x14ac:dyDescent="0.3">
      <c r="A47" s="7" t="s">
        <v>5</v>
      </c>
      <c r="B47" s="8" t="s">
        <v>6</v>
      </c>
      <c r="C47" s="46" t="s">
        <v>7</v>
      </c>
      <c r="D47" s="10" t="s">
        <v>8</v>
      </c>
      <c r="E47" s="47" t="s">
        <v>46</v>
      </c>
      <c r="F47" s="48" t="s">
        <v>10</v>
      </c>
      <c r="G47" s="49" t="s">
        <v>11</v>
      </c>
      <c r="H47" s="50" t="s">
        <v>12</v>
      </c>
    </row>
    <row r="48" spans="1:8" x14ac:dyDescent="0.25">
      <c r="A48" s="51">
        <v>54201</v>
      </c>
      <c r="B48" s="52" t="s">
        <v>47</v>
      </c>
      <c r="C48" s="53">
        <v>191255</v>
      </c>
      <c r="D48" s="53">
        <v>-11876.59</v>
      </c>
      <c r="E48" s="18">
        <f t="shared" ref="E48:E51" si="4">+C48+D48</f>
        <v>179378.41</v>
      </c>
      <c r="F48" s="18">
        <v>127316.34</v>
      </c>
      <c r="G48" s="18">
        <f>23689.96-3698.3</f>
        <v>19991.66</v>
      </c>
      <c r="H48" s="54">
        <f t="shared" si="0"/>
        <v>32070.410000000007</v>
      </c>
    </row>
    <row r="49" spans="1:8" x14ac:dyDescent="0.25">
      <c r="A49" s="20">
        <v>54202</v>
      </c>
      <c r="B49" s="21" t="s">
        <v>48</v>
      </c>
      <c r="C49" s="22">
        <v>43800</v>
      </c>
      <c r="D49" s="22">
        <v>-3140.09</v>
      </c>
      <c r="E49" s="18">
        <f>+C49+D49</f>
        <v>40659.910000000003</v>
      </c>
      <c r="F49" s="18">
        <v>16544.900000000001</v>
      </c>
      <c r="G49" s="18">
        <v>12207.36</v>
      </c>
      <c r="H49" s="19">
        <f t="shared" si="0"/>
        <v>11907.650000000001</v>
      </c>
    </row>
    <row r="50" spans="1:8" x14ac:dyDescent="0.25">
      <c r="A50" s="33">
        <v>54203</v>
      </c>
      <c r="B50" s="34" t="s">
        <v>49</v>
      </c>
      <c r="C50" s="35">
        <v>188800</v>
      </c>
      <c r="D50" s="35">
        <v>-26384.44</v>
      </c>
      <c r="E50" s="18">
        <f t="shared" si="4"/>
        <v>162415.56</v>
      </c>
      <c r="F50" s="18">
        <v>107590.9</v>
      </c>
      <c r="G50" s="18">
        <f>43168.84-23369.35</f>
        <v>19799.489999999998</v>
      </c>
      <c r="H50" s="36">
        <f t="shared" si="0"/>
        <v>35025.170000000006</v>
      </c>
    </row>
    <row r="51" spans="1:8" x14ac:dyDescent="0.25">
      <c r="A51" s="20">
        <v>54204</v>
      </c>
      <c r="B51" s="21" t="s">
        <v>50</v>
      </c>
      <c r="C51" s="22">
        <v>1200</v>
      </c>
      <c r="D51" s="22">
        <v>-274.57</v>
      </c>
      <c r="E51" s="18">
        <f t="shared" si="4"/>
        <v>925.43000000000006</v>
      </c>
      <c r="F51" s="18">
        <v>48.08</v>
      </c>
      <c r="G51" s="18">
        <v>600</v>
      </c>
      <c r="H51" s="55">
        <f t="shared" si="0"/>
        <v>277.35000000000002</v>
      </c>
    </row>
    <row r="52" spans="1:8" x14ac:dyDescent="0.25">
      <c r="A52" s="56"/>
      <c r="B52" s="26" t="s">
        <v>45</v>
      </c>
      <c r="C52" s="28">
        <f>SUM(C48:C51)</f>
        <v>425055</v>
      </c>
      <c r="D52" s="28">
        <f>SUM(D48:D51)</f>
        <v>-41675.689999999995</v>
      </c>
      <c r="E52" s="28">
        <f>SUM(E48:E51)</f>
        <v>383379.31</v>
      </c>
      <c r="F52" s="28">
        <f>SUM(F48:F51)</f>
        <v>251500.21999999997</v>
      </c>
      <c r="G52" s="28">
        <f>SUM(G48:G51)</f>
        <v>52598.509999999995</v>
      </c>
      <c r="H52" s="57">
        <f t="shared" si="0"/>
        <v>79280.580000000031</v>
      </c>
    </row>
    <row r="53" spans="1:8" x14ac:dyDescent="0.25">
      <c r="A53" s="20">
        <v>54301</v>
      </c>
      <c r="B53" s="21" t="s">
        <v>51</v>
      </c>
      <c r="C53" s="22">
        <v>35000</v>
      </c>
      <c r="D53" s="22">
        <v>-1374.56</v>
      </c>
      <c r="E53" s="18">
        <f t="shared" ref="E53:E63" si="5">+C53+D53</f>
        <v>33625.440000000002</v>
      </c>
      <c r="F53" s="18">
        <v>19570.22</v>
      </c>
      <c r="G53" s="18">
        <v>8352.58</v>
      </c>
      <c r="H53" s="55">
        <f t="shared" si="0"/>
        <v>5702.6400000000012</v>
      </c>
    </row>
    <row r="54" spans="1:8" x14ac:dyDescent="0.25">
      <c r="A54" s="16">
        <v>54302</v>
      </c>
      <c r="B54" s="17" t="s">
        <v>52</v>
      </c>
      <c r="C54" s="18">
        <v>63000</v>
      </c>
      <c r="D54" s="18">
        <v>349.06</v>
      </c>
      <c r="E54" s="18">
        <f t="shared" si="5"/>
        <v>63349.06</v>
      </c>
      <c r="F54" s="18">
        <v>46761.09</v>
      </c>
      <c r="G54" s="18">
        <v>11110.52</v>
      </c>
      <c r="H54" s="19">
        <f t="shared" si="0"/>
        <v>5477.4500000000007</v>
      </c>
    </row>
    <row r="55" spans="1:8" x14ac:dyDescent="0.25">
      <c r="A55" s="20">
        <v>54304</v>
      </c>
      <c r="B55" s="21" t="s">
        <v>53</v>
      </c>
      <c r="C55" s="22">
        <v>2000</v>
      </c>
      <c r="D55" s="22">
        <v>-128.58000000000001</v>
      </c>
      <c r="E55" s="18">
        <f t="shared" si="5"/>
        <v>1871.42</v>
      </c>
      <c r="F55" s="18">
        <v>155.55000000000001</v>
      </c>
      <c r="G55" s="18">
        <v>715.87</v>
      </c>
      <c r="H55" s="55">
        <f t="shared" si="0"/>
        <v>1000.0000000000001</v>
      </c>
    </row>
    <row r="56" spans="1:8" x14ac:dyDescent="0.25">
      <c r="A56" s="20">
        <v>54305</v>
      </c>
      <c r="B56" s="21" t="s">
        <v>54</v>
      </c>
      <c r="C56" s="22">
        <v>74200</v>
      </c>
      <c r="D56" s="22">
        <v>-13253.92</v>
      </c>
      <c r="E56" s="18">
        <f t="shared" si="5"/>
        <v>60946.080000000002</v>
      </c>
      <c r="F56" s="18">
        <v>1021.25</v>
      </c>
      <c r="G56" s="18">
        <v>32334.99</v>
      </c>
      <c r="H56" s="55">
        <f t="shared" si="0"/>
        <v>27589.84</v>
      </c>
    </row>
    <row r="57" spans="1:8" x14ac:dyDescent="0.25">
      <c r="A57" s="20">
        <v>54307</v>
      </c>
      <c r="B57" s="21" t="s">
        <v>55</v>
      </c>
      <c r="C57" s="22">
        <v>13000</v>
      </c>
      <c r="D57" s="22">
        <v>-1246</v>
      </c>
      <c r="E57" s="18">
        <f t="shared" si="5"/>
        <v>11754</v>
      </c>
      <c r="F57" s="18">
        <v>6437.36</v>
      </c>
      <c r="G57" s="18">
        <v>3010.32</v>
      </c>
      <c r="H57" s="55">
        <f t="shared" si="0"/>
        <v>2306.3200000000002</v>
      </c>
    </row>
    <row r="58" spans="1:8" x14ac:dyDescent="0.25">
      <c r="A58" s="20">
        <v>54308</v>
      </c>
      <c r="B58" s="21" t="s">
        <v>56</v>
      </c>
      <c r="C58" s="22">
        <v>0</v>
      </c>
      <c r="D58" s="22">
        <v>1266</v>
      </c>
      <c r="E58" s="18">
        <f t="shared" si="5"/>
        <v>1266</v>
      </c>
      <c r="F58" s="18">
        <v>1266</v>
      </c>
      <c r="G58" s="18">
        <v>0</v>
      </c>
      <c r="H58" s="55">
        <f t="shared" si="0"/>
        <v>0</v>
      </c>
    </row>
    <row r="59" spans="1:8" x14ac:dyDescent="0.25">
      <c r="A59" s="20">
        <v>54313</v>
      </c>
      <c r="B59" s="21" t="s">
        <v>57</v>
      </c>
      <c r="C59" s="22">
        <v>33900</v>
      </c>
      <c r="D59" s="22">
        <v>-4618.88</v>
      </c>
      <c r="E59" s="18">
        <f t="shared" si="5"/>
        <v>29281.119999999999</v>
      </c>
      <c r="F59" s="18">
        <v>8945.6</v>
      </c>
      <c r="G59" s="18">
        <v>12284.52</v>
      </c>
      <c r="H59" s="55">
        <f t="shared" si="0"/>
        <v>8050.9999999999964</v>
      </c>
    </row>
    <row r="60" spans="1:8" x14ac:dyDescent="0.25">
      <c r="A60" s="20">
        <v>54314</v>
      </c>
      <c r="B60" s="21" t="s">
        <v>58</v>
      </c>
      <c r="C60" s="22">
        <v>47000</v>
      </c>
      <c r="D60" s="22">
        <v>8649.61</v>
      </c>
      <c r="E60" s="18">
        <f t="shared" si="5"/>
        <v>55649.61</v>
      </c>
      <c r="F60" s="18">
        <v>9940.61</v>
      </c>
      <c r="G60" s="18">
        <v>10798</v>
      </c>
      <c r="H60" s="55">
        <f t="shared" si="0"/>
        <v>34911</v>
      </c>
    </row>
    <row r="61" spans="1:8" x14ac:dyDescent="0.25">
      <c r="A61" s="20">
        <v>54316</v>
      </c>
      <c r="B61" s="21" t="s">
        <v>59</v>
      </c>
      <c r="C61" s="22">
        <v>24000</v>
      </c>
      <c r="D61" s="22">
        <v>-476.08</v>
      </c>
      <c r="E61" s="18">
        <f t="shared" si="5"/>
        <v>23523.919999999998</v>
      </c>
      <c r="F61" s="18">
        <v>21303.06</v>
      </c>
      <c r="G61" s="18">
        <v>1767.2</v>
      </c>
      <c r="H61" s="55">
        <f t="shared" si="0"/>
        <v>453.6599999999969</v>
      </c>
    </row>
    <row r="62" spans="1:8" x14ac:dyDescent="0.25">
      <c r="A62" s="20">
        <v>54317</v>
      </c>
      <c r="B62" s="21" t="s">
        <v>60</v>
      </c>
      <c r="C62" s="22">
        <v>584880</v>
      </c>
      <c r="D62" s="22"/>
      <c r="E62" s="18">
        <f t="shared" si="5"/>
        <v>584880</v>
      </c>
      <c r="F62" s="18">
        <v>584872.92000000004</v>
      </c>
      <c r="G62" s="18">
        <v>3.54</v>
      </c>
      <c r="H62" s="55">
        <f t="shared" si="0"/>
        <v>3.5399999999580904</v>
      </c>
    </row>
    <row r="63" spans="1:8" x14ac:dyDescent="0.25">
      <c r="A63" s="20">
        <v>54399</v>
      </c>
      <c r="B63" s="21" t="s">
        <v>61</v>
      </c>
      <c r="C63" s="22">
        <v>49280</v>
      </c>
      <c r="D63" s="22">
        <v>305458.46999999997</v>
      </c>
      <c r="E63" s="18">
        <f t="shared" si="5"/>
        <v>354738.47</v>
      </c>
      <c r="F63" s="18">
        <v>44424.65</v>
      </c>
      <c r="G63" s="18">
        <v>2869</v>
      </c>
      <c r="H63" s="55">
        <f t="shared" si="0"/>
        <v>307444.81999999995</v>
      </c>
    </row>
    <row r="64" spans="1:8" x14ac:dyDescent="0.25">
      <c r="A64" s="56"/>
      <c r="B64" s="26" t="s">
        <v>45</v>
      </c>
      <c r="C64" s="28">
        <f>SUM(C53:C63)</f>
        <v>926260</v>
      </c>
      <c r="D64" s="28">
        <f>SUM(D53:D63)</f>
        <v>294625.12</v>
      </c>
      <c r="E64" s="28">
        <f>SUM(E53:E63)</f>
        <v>1220885.1199999999</v>
      </c>
      <c r="F64" s="28">
        <f>SUM(F53:F63)</f>
        <v>744698.31</v>
      </c>
      <c r="G64" s="28">
        <f>SUM(G53:G63)</f>
        <v>83246.539999999994</v>
      </c>
      <c r="H64" s="57">
        <f t="shared" si="0"/>
        <v>392940.26999999984</v>
      </c>
    </row>
    <row r="65" spans="1:9" x14ac:dyDescent="0.25">
      <c r="A65" s="20">
        <v>54402</v>
      </c>
      <c r="B65" s="21" t="s">
        <v>62</v>
      </c>
      <c r="C65" s="22">
        <v>8000</v>
      </c>
      <c r="D65" s="22">
        <v>4312.9399999999996</v>
      </c>
      <c r="E65" s="18">
        <f t="shared" ref="E65:E67" si="6">+C65+D65</f>
        <v>12312.939999999999</v>
      </c>
      <c r="F65" s="18">
        <v>12312.94</v>
      </c>
      <c r="G65" s="22">
        <v>0</v>
      </c>
      <c r="H65" s="55">
        <f t="shared" si="0"/>
        <v>-1.8189894035458565E-12</v>
      </c>
    </row>
    <row r="66" spans="1:9" x14ac:dyDescent="0.25">
      <c r="A66" s="20">
        <v>54403</v>
      </c>
      <c r="B66" s="21" t="s">
        <v>63</v>
      </c>
      <c r="C66" s="22">
        <v>11460</v>
      </c>
      <c r="D66" s="22"/>
      <c r="E66" s="18">
        <f t="shared" si="6"/>
        <v>11460</v>
      </c>
      <c r="F66" s="18">
        <v>5401</v>
      </c>
      <c r="G66" s="18">
        <v>2362</v>
      </c>
      <c r="H66" s="55">
        <f t="shared" si="0"/>
        <v>3697</v>
      </c>
    </row>
    <row r="67" spans="1:9" x14ac:dyDescent="0.25">
      <c r="A67" s="20">
        <v>54404</v>
      </c>
      <c r="B67" s="21" t="s">
        <v>64</v>
      </c>
      <c r="C67" s="22">
        <v>20000</v>
      </c>
      <c r="D67" s="22">
        <v>19329</v>
      </c>
      <c r="E67" s="18">
        <f t="shared" si="6"/>
        <v>39329</v>
      </c>
      <c r="F67" s="18">
        <v>35275</v>
      </c>
      <c r="G67" s="18">
        <v>0</v>
      </c>
      <c r="H67" s="55">
        <f t="shared" si="0"/>
        <v>4054</v>
      </c>
    </row>
    <row r="68" spans="1:9" x14ac:dyDescent="0.25">
      <c r="A68" s="56"/>
      <c r="B68" s="26" t="s">
        <v>45</v>
      </c>
      <c r="C68" s="28">
        <f>SUM(C65:C67)</f>
        <v>39460</v>
      </c>
      <c r="D68" s="28">
        <f>SUM(D65:D67)</f>
        <v>23641.94</v>
      </c>
      <c r="E68" s="28">
        <f>SUM(E65:E67)</f>
        <v>63101.94</v>
      </c>
      <c r="F68" s="28">
        <f>SUM(F65:F67)</f>
        <v>52988.94</v>
      </c>
      <c r="G68" s="28">
        <f>SUM(G65:G67)</f>
        <v>2362</v>
      </c>
      <c r="H68" s="57">
        <f t="shared" si="0"/>
        <v>7751</v>
      </c>
    </row>
    <row r="69" spans="1:9" x14ac:dyDescent="0.25">
      <c r="A69" s="20">
        <v>54505</v>
      </c>
      <c r="B69" s="21" t="s">
        <v>65</v>
      </c>
      <c r="C69" s="22">
        <v>4000</v>
      </c>
      <c r="D69" s="22"/>
      <c r="E69" s="18">
        <f t="shared" ref="E69:E70" si="7">+C69+D69</f>
        <v>4000</v>
      </c>
      <c r="F69" s="18">
        <v>1450</v>
      </c>
      <c r="G69" s="18">
        <v>2000</v>
      </c>
      <c r="H69" s="55">
        <f t="shared" si="0"/>
        <v>550</v>
      </c>
    </row>
    <row r="70" spans="1:9" x14ac:dyDescent="0.25">
      <c r="A70" s="20">
        <v>54599</v>
      </c>
      <c r="B70" s="21" t="s">
        <v>66</v>
      </c>
      <c r="C70" s="22">
        <v>34100</v>
      </c>
      <c r="D70" s="22">
        <v>-2887.23</v>
      </c>
      <c r="E70" s="18">
        <f t="shared" si="7"/>
        <v>31212.77</v>
      </c>
      <c r="F70" s="18">
        <v>11300</v>
      </c>
      <c r="G70" s="18">
        <v>15500</v>
      </c>
      <c r="H70" s="55">
        <f t="shared" si="0"/>
        <v>4412.7700000000004</v>
      </c>
    </row>
    <row r="71" spans="1:9" x14ac:dyDescent="0.25">
      <c r="A71" s="56"/>
      <c r="B71" s="26" t="s">
        <v>45</v>
      </c>
      <c r="C71" s="28">
        <f>SUM(C69:C70)</f>
        <v>38100</v>
      </c>
      <c r="D71" s="28">
        <f>SUM(D69:D70)</f>
        <v>-2887.23</v>
      </c>
      <c r="E71" s="28">
        <f>SUM(E69:E70)</f>
        <v>35212.770000000004</v>
      </c>
      <c r="F71" s="28">
        <f>SUM(F69:F70)</f>
        <v>12750</v>
      </c>
      <c r="G71" s="28">
        <f>SUM(G69:G70)</f>
        <v>17500</v>
      </c>
      <c r="H71" s="55">
        <f t="shared" si="0"/>
        <v>4962.7700000000041</v>
      </c>
    </row>
    <row r="72" spans="1:9" x14ac:dyDescent="0.25">
      <c r="A72" s="58"/>
      <c r="B72" s="26" t="s">
        <v>26</v>
      </c>
      <c r="C72" s="28">
        <f>+C71+C68+C64+C52+C43</f>
        <v>2106910</v>
      </c>
      <c r="D72" s="28">
        <f>+D71+D68+D64+D52+D43</f>
        <v>272932.35000000003</v>
      </c>
      <c r="E72" s="29">
        <f>+E71+E68+E64+E52+E43</f>
        <v>2379842.3499999996</v>
      </c>
      <c r="F72" s="30">
        <f>+F71+F68+F64+F52+F43</f>
        <v>1674151.18</v>
      </c>
      <c r="G72" s="59">
        <f>+G71+G68+G64+G52+G43</f>
        <v>187706.21</v>
      </c>
      <c r="H72" s="60">
        <f t="shared" si="0"/>
        <v>517984.95999999973</v>
      </c>
    </row>
    <row r="73" spans="1:9" x14ac:dyDescent="0.25">
      <c r="A73" s="20">
        <v>55599</v>
      </c>
      <c r="B73" s="21" t="s">
        <v>67</v>
      </c>
      <c r="C73" s="22">
        <v>3400</v>
      </c>
      <c r="D73" s="22">
        <v>-113</v>
      </c>
      <c r="E73" s="18">
        <f>+C73+D73</f>
        <v>3287</v>
      </c>
      <c r="F73" s="18">
        <v>2718.64</v>
      </c>
      <c r="G73" s="18">
        <f>681.36-113</f>
        <v>568.36</v>
      </c>
      <c r="H73" s="55">
        <f t="shared" si="0"/>
        <v>0</v>
      </c>
    </row>
    <row r="74" spans="1:9" x14ac:dyDescent="0.25">
      <c r="A74" s="56"/>
      <c r="B74" s="26" t="s">
        <v>45</v>
      </c>
      <c r="C74" s="28">
        <f>SUM(C73)</f>
        <v>3400</v>
      </c>
      <c r="D74" s="28">
        <f>SUM(D73)</f>
        <v>-113</v>
      </c>
      <c r="E74" s="28">
        <f>SUM(E73)</f>
        <v>3287</v>
      </c>
      <c r="F74" s="28">
        <f>SUM(F73)</f>
        <v>2718.64</v>
      </c>
      <c r="G74" s="28">
        <f>SUM(G73)</f>
        <v>568.36</v>
      </c>
      <c r="H74" s="55">
        <f t="shared" si="0"/>
        <v>0</v>
      </c>
    </row>
    <row r="75" spans="1:9" x14ac:dyDescent="0.25">
      <c r="A75" s="20">
        <v>55601</v>
      </c>
      <c r="B75" s="21" t="s">
        <v>68</v>
      </c>
      <c r="C75" s="22">
        <v>47000</v>
      </c>
      <c r="D75" s="22">
        <v>1457.22</v>
      </c>
      <c r="E75" s="18">
        <f t="shared" ref="E75:E77" si="8">+C75+D75</f>
        <v>48457.22</v>
      </c>
      <c r="F75" s="18">
        <v>48457.22</v>
      </c>
      <c r="G75" s="18">
        <v>0</v>
      </c>
      <c r="H75" s="55">
        <f t="shared" ref="H75:H98" si="9">+E75-F75-G75</f>
        <v>0</v>
      </c>
    </row>
    <row r="76" spans="1:9" x14ac:dyDescent="0.25">
      <c r="A76" s="20">
        <v>55602</v>
      </c>
      <c r="B76" s="21" t="s">
        <v>69</v>
      </c>
      <c r="C76" s="22">
        <v>36000</v>
      </c>
      <c r="D76" s="22">
        <v>21262.560000000001</v>
      </c>
      <c r="E76" s="18">
        <f t="shared" si="8"/>
        <v>57262.559999999998</v>
      </c>
      <c r="F76" s="18">
        <v>57147.74</v>
      </c>
      <c r="G76" s="18">
        <v>1.82</v>
      </c>
      <c r="H76" s="55">
        <f t="shared" si="9"/>
        <v>112.99999999999972</v>
      </c>
    </row>
    <row r="77" spans="1:9" x14ac:dyDescent="0.25">
      <c r="A77" s="20">
        <v>55603</v>
      </c>
      <c r="B77" s="21" t="s">
        <v>70</v>
      </c>
      <c r="C77" s="22">
        <v>25</v>
      </c>
      <c r="D77" s="22">
        <v>0</v>
      </c>
      <c r="E77" s="18">
        <f t="shared" si="8"/>
        <v>25</v>
      </c>
      <c r="F77" s="18">
        <v>25</v>
      </c>
      <c r="G77" s="22">
        <v>0</v>
      </c>
      <c r="H77" s="55">
        <f t="shared" si="9"/>
        <v>0</v>
      </c>
    </row>
    <row r="78" spans="1:9" x14ac:dyDescent="0.25">
      <c r="A78" s="56"/>
      <c r="B78" s="26" t="s">
        <v>45</v>
      </c>
      <c r="C78" s="28">
        <f>SUM(C75:C77)</f>
        <v>83025</v>
      </c>
      <c r="D78" s="28">
        <f>SUM(D75:D76)</f>
        <v>22719.780000000002</v>
      </c>
      <c r="E78" s="28">
        <f>SUM(E75:E77)</f>
        <v>105744.78</v>
      </c>
      <c r="F78" s="28">
        <f>SUM(F75:F77)</f>
        <v>105629.95999999999</v>
      </c>
      <c r="G78" s="28">
        <f>SUM(G75:G77)</f>
        <v>1.82</v>
      </c>
      <c r="H78" s="55">
        <f t="shared" si="9"/>
        <v>113.00000000000699</v>
      </c>
      <c r="I78" s="61"/>
    </row>
    <row r="79" spans="1:9" x14ac:dyDescent="0.25">
      <c r="A79" s="58"/>
      <c r="B79" s="26" t="s">
        <v>26</v>
      </c>
      <c r="C79" s="28">
        <f>+C78+C74</f>
        <v>86425</v>
      </c>
      <c r="D79" s="28">
        <f>+D74+D78</f>
        <v>22606.780000000002</v>
      </c>
      <c r="E79" s="29">
        <f>+E78+E74</f>
        <v>109031.78</v>
      </c>
      <c r="F79" s="30">
        <f>+F78+F74</f>
        <v>108348.59999999999</v>
      </c>
      <c r="G79" s="59">
        <f>+G74+G78</f>
        <v>570.18000000000006</v>
      </c>
      <c r="H79" s="60">
        <f t="shared" si="9"/>
        <v>113.0000000000075</v>
      </c>
      <c r="I79" s="61"/>
    </row>
    <row r="80" spans="1:9" x14ac:dyDescent="0.25">
      <c r="A80" s="20">
        <v>56303</v>
      </c>
      <c r="B80" s="21" t="s">
        <v>71</v>
      </c>
      <c r="C80" s="22">
        <v>4000</v>
      </c>
      <c r="D80" s="22"/>
      <c r="E80" s="18">
        <f t="shared" ref="E80:E81" si="10">+C80+D80</f>
        <v>4000</v>
      </c>
      <c r="F80" s="18"/>
      <c r="G80" s="22">
        <v>2000</v>
      </c>
      <c r="H80" s="55">
        <f t="shared" si="9"/>
        <v>2000</v>
      </c>
      <c r="I80" s="62"/>
    </row>
    <row r="81" spans="1:9" x14ac:dyDescent="0.25">
      <c r="A81" s="20">
        <v>56304</v>
      </c>
      <c r="B81" s="21" t="s">
        <v>72</v>
      </c>
      <c r="C81" s="22">
        <v>0</v>
      </c>
      <c r="D81" s="22">
        <v>0</v>
      </c>
      <c r="E81" s="18">
        <f t="shared" si="10"/>
        <v>0</v>
      </c>
      <c r="F81" s="18">
        <v>0</v>
      </c>
      <c r="G81" s="22">
        <v>0</v>
      </c>
      <c r="H81" s="55">
        <f t="shared" si="9"/>
        <v>0</v>
      </c>
      <c r="I81" s="62"/>
    </row>
    <row r="82" spans="1:9" x14ac:dyDescent="0.25">
      <c r="A82" s="56"/>
      <c r="B82" s="26" t="s">
        <v>45</v>
      </c>
      <c r="C82" s="28">
        <f>C81+C80</f>
        <v>4000</v>
      </c>
      <c r="D82" s="28">
        <f>SUM(D80:D81)</f>
        <v>0</v>
      </c>
      <c r="E82" s="28">
        <f>SUM(E80:E81)</f>
        <v>4000</v>
      </c>
      <c r="F82" s="28">
        <f>SUM(F80:F81)</f>
        <v>0</v>
      </c>
      <c r="G82" s="28">
        <f>SUM(G80)</f>
        <v>2000</v>
      </c>
      <c r="H82" s="57">
        <f t="shared" si="9"/>
        <v>2000</v>
      </c>
      <c r="I82" s="62"/>
    </row>
    <row r="83" spans="1:9" x14ac:dyDescent="0.25">
      <c r="A83" s="20">
        <v>56404</v>
      </c>
      <c r="B83" s="21" t="s">
        <v>73</v>
      </c>
      <c r="C83" s="22">
        <v>5500</v>
      </c>
      <c r="D83" s="22"/>
      <c r="E83" s="18">
        <f>+C83+D83</f>
        <v>5500</v>
      </c>
      <c r="F83" s="18">
        <v>5121.01</v>
      </c>
      <c r="G83" s="22">
        <v>378.99</v>
      </c>
      <c r="H83" s="55">
        <f t="shared" si="9"/>
        <v>0</v>
      </c>
      <c r="I83" s="62"/>
    </row>
    <row r="84" spans="1:9" ht="15.75" thickBot="1" x14ac:dyDescent="0.3">
      <c r="A84" s="63"/>
      <c r="B84" s="64" t="s">
        <v>45</v>
      </c>
      <c r="C84" s="65">
        <f>SUM(C83)</f>
        <v>5500</v>
      </c>
      <c r="D84" s="65">
        <f>SUM(D83)</f>
        <v>0</v>
      </c>
      <c r="E84" s="65">
        <f>SUM(E83)</f>
        <v>5500</v>
      </c>
      <c r="F84" s="65">
        <f>SUM(F83)</f>
        <v>5121.01</v>
      </c>
      <c r="G84" s="65">
        <f>SUM(G83)</f>
        <v>378.99</v>
      </c>
      <c r="H84" s="66">
        <f t="shared" si="9"/>
        <v>0</v>
      </c>
      <c r="I84" s="62"/>
    </row>
    <row r="85" spans="1:9" ht="15.75" thickBot="1" x14ac:dyDescent="0.3">
      <c r="A85" s="67"/>
      <c r="B85" s="68" t="s">
        <v>26</v>
      </c>
      <c r="C85" s="69">
        <f>+C82+C84</f>
        <v>9500</v>
      </c>
      <c r="D85" s="69">
        <f t="shared" ref="D85:H85" si="11">+D82+D84</f>
        <v>0</v>
      </c>
      <c r="E85" s="70">
        <f t="shared" si="11"/>
        <v>9500</v>
      </c>
      <c r="F85" s="71">
        <f t="shared" si="11"/>
        <v>5121.01</v>
      </c>
      <c r="G85" s="72">
        <f t="shared" si="11"/>
        <v>2378.9899999999998</v>
      </c>
      <c r="H85" s="73">
        <f t="shared" si="11"/>
        <v>2000</v>
      </c>
      <c r="I85" s="62"/>
    </row>
    <row r="86" spans="1:9" x14ac:dyDescent="0.25">
      <c r="A86" s="42"/>
      <c r="B86" s="42"/>
      <c r="C86" s="43"/>
      <c r="D86" s="44"/>
      <c r="E86" s="44"/>
      <c r="F86" s="44"/>
      <c r="G86" s="44"/>
      <c r="H86" s="44"/>
      <c r="I86" s="62"/>
    </row>
    <row r="87" spans="1:9" x14ac:dyDescent="0.25">
      <c r="A87" s="42"/>
      <c r="B87" s="42"/>
      <c r="C87" s="43"/>
      <c r="D87" s="44"/>
      <c r="E87" s="44"/>
      <c r="F87" s="44"/>
      <c r="G87" s="44"/>
      <c r="H87" s="44"/>
      <c r="I87" s="62"/>
    </row>
    <row r="88" spans="1:9" x14ac:dyDescent="0.25">
      <c r="A88" s="42"/>
      <c r="B88" s="42"/>
      <c r="C88" s="43"/>
      <c r="D88" s="44"/>
      <c r="E88" s="44"/>
      <c r="F88" s="44"/>
      <c r="G88" s="44"/>
      <c r="H88" s="44"/>
      <c r="I88" s="62"/>
    </row>
    <row r="89" spans="1:9" ht="15.75" thickBot="1" x14ac:dyDescent="0.3">
      <c r="A89" s="42"/>
      <c r="B89" s="42"/>
      <c r="C89" s="43"/>
      <c r="D89" s="44"/>
      <c r="E89" s="44"/>
      <c r="F89" s="44"/>
      <c r="G89" s="44"/>
      <c r="H89" s="44"/>
      <c r="I89" s="62"/>
    </row>
    <row r="90" spans="1:9" ht="15.75" thickBot="1" x14ac:dyDescent="0.3">
      <c r="A90" s="7" t="s">
        <v>5</v>
      </c>
      <c r="B90" s="8" t="s">
        <v>6</v>
      </c>
      <c r="C90" s="46" t="s">
        <v>7</v>
      </c>
      <c r="D90" s="10" t="s">
        <v>8</v>
      </c>
      <c r="E90" s="47" t="s">
        <v>46</v>
      </c>
      <c r="F90" s="48" t="s">
        <v>10</v>
      </c>
      <c r="G90" s="49" t="s">
        <v>11</v>
      </c>
      <c r="H90" s="50" t="s">
        <v>12</v>
      </c>
      <c r="I90" s="62"/>
    </row>
    <row r="91" spans="1:9" x14ac:dyDescent="0.25">
      <c r="A91" s="74">
        <v>61101</v>
      </c>
      <c r="B91" s="75" t="s">
        <v>74</v>
      </c>
      <c r="C91" s="76">
        <v>5000</v>
      </c>
      <c r="D91" s="76">
        <v>-2345</v>
      </c>
      <c r="E91" s="53">
        <f t="shared" ref="E91:E95" si="12">+C91+D91</f>
        <v>2655</v>
      </c>
      <c r="F91" s="53">
        <v>2655</v>
      </c>
      <c r="G91" s="76">
        <v>0</v>
      </c>
      <c r="H91" s="54">
        <f t="shared" si="9"/>
        <v>0</v>
      </c>
      <c r="I91" s="77"/>
    </row>
    <row r="92" spans="1:9" x14ac:dyDescent="0.25">
      <c r="A92" s="56">
        <v>61102</v>
      </c>
      <c r="B92" s="78" t="s">
        <v>75</v>
      </c>
      <c r="C92" s="23">
        <v>15000</v>
      </c>
      <c r="D92" s="23">
        <v>-8539.4599999999991</v>
      </c>
      <c r="E92" s="18">
        <f t="shared" si="12"/>
        <v>6460.5400000000009</v>
      </c>
      <c r="F92" s="18">
        <v>6460.54</v>
      </c>
      <c r="G92" s="23">
        <v>0</v>
      </c>
      <c r="H92" s="55">
        <f t="shared" si="9"/>
        <v>9.0949470177292824E-13</v>
      </c>
      <c r="I92" s="77"/>
    </row>
    <row r="93" spans="1:9" x14ac:dyDescent="0.25">
      <c r="A93" s="56">
        <v>61103</v>
      </c>
      <c r="B93" s="78" t="s">
        <v>76</v>
      </c>
      <c r="C93" s="23">
        <v>500</v>
      </c>
      <c r="D93" s="23">
        <v>-500</v>
      </c>
      <c r="E93" s="18">
        <f t="shared" si="12"/>
        <v>0</v>
      </c>
      <c r="F93" s="18">
        <v>0</v>
      </c>
      <c r="G93" s="23">
        <v>0</v>
      </c>
      <c r="H93" s="55">
        <f t="shared" si="9"/>
        <v>0</v>
      </c>
      <c r="I93" s="77"/>
    </row>
    <row r="94" spans="1:9" x14ac:dyDescent="0.25">
      <c r="A94" s="56">
        <v>61104</v>
      </c>
      <c r="B94" s="78" t="s">
        <v>77</v>
      </c>
      <c r="C94" s="23">
        <v>15055</v>
      </c>
      <c r="D94" s="23">
        <v>-12241.73</v>
      </c>
      <c r="E94" s="18">
        <f t="shared" si="12"/>
        <v>2813.2700000000004</v>
      </c>
      <c r="F94" s="18">
        <v>1044.1199999999999</v>
      </c>
      <c r="G94" s="23">
        <v>0</v>
      </c>
      <c r="H94" s="55">
        <f t="shared" si="9"/>
        <v>1769.1500000000005</v>
      </c>
      <c r="I94" s="77"/>
    </row>
    <row r="95" spans="1:9" x14ac:dyDescent="0.25">
      <c r="A95" s="20">
        <v>61108</v>
      </c>
      <c r="B95" s="21" t="s">
        <v>42</v>
      </c>
      <c r="C95" s="22">
        <v>1000</v>
      </c>
      <c r="D95" s="22">
        <v>-28.1</v>
      </c>
      <c r="E95" s="18">
        <f t="shared" si="12"/>
        <v>971.9</v>
      </c>
      <c r="F95" s="18">
        <v>942.76</v>
      </c>
      <c r="G95" s="22">
        <v>0</v>
      </c>
      <c r="H95" s="55">
        <f t="shared" si="9"/>
        <v>29.139999999999986</v>
      </c>
      <c r="I95" s="62"/>
    </row>
    <row r="96" spans="1:9" x14ac:dyDescent="0.25">
      <c r="A96" s="56"/>
      <c r="B96" s="26" t="s">
        <v>45</v>
      </c>
      <c r="C96" s="28">
        <f>SUM(C91:C95)</f>
        <v>36555</v>
      </c>
      <c r="D96" s="28">
        <f>SUM(D91:D95)</f>
        <v>-23654.289999999997</v>
      </c>
      <c r="E96" s="28">
        <f>SUM(E91:E95)</f>
        <v>12900.710000000001</v>
      </c>
      <c r="F96" s="28">
        <f>SUM(F91:F95)</f>
        <v>11102.42</v>
      </c>
      <c r="G96" s="28">
        <f>SUM(G95)</f>
        <v>0</v>
      </c>
      <c r="H96" s="57">
        <f t="shared" si="9"/>
        <v>1798.2900000000009</v>
      </c>
      <c r="I96" s="62"/>
    </row>
    <row r="97" spans="1:9" x14ac:dyDescent="0.25">
      <c r="A97" s="20">
        <v>61403</v>
      </c>
      <c r="B97" s="21" t="s">
        <v>78</v>
      </c>
      <c r="C97" s="22">
        <v>0</v>
      </c>
      <c r="D97" s="22">
        <v>1047.51</v>
      </c>
      <c r="E97" s="18">
        <f>+C97+D97</f>
        <v>1047.51</v>
      </c>
      <c r="F97" s="22">
        <v>1047.51</v>
      </c>
      <c r="G97" s="22">
        <v>0</v>
      </c>
      <c r="H97" s="55">
        <f t="shared" si="9"/>
        <v>0</v>
      </c>
      <c r="I97" s="62"/>
    </row>
    <row r="98" spans="1:9" ht="15.75" thickBot="1" x14ac:dyDescent="0.3">
      <c r="A98" s="79"/>
      <c r="B98" s="80" t="s">
        <v>45</v>
      </c>
      <c r="C98" s="81">
        <f>+C97</f>
        <v>0</v>
      </c>
      <c r="D98" s="81">
        <f>+D97</f>
        <v>1047.51</v>
      </c>
      <c r="E98" s="82">
        <f>+E97</f>
        <v>1047.51</v>
      </c>
      <c r="F98" s="82">
        <f>+F97</f>
        <v>1047.51</v>
      </c>
      <c r="G98" s="82">
        <f>SUM(G97)</f>
        <v>0</v>
      </c>
      <c r="H98" s="83">
        <f t="shared" si="9"/>
        <v>0</v>
      </c>
      <c r="I98" s="62"/>
    </row>
    <row r="99" spans="1:9" ht="15.75" thickBot="1" x14ac:dyDescent="0.3">
      <c r="A99" s="84"/>
      <c r="B99" s="85" t="s">
        <v>26</v>
      </c>
      <c r="C99" s="86">
        <f>+C96+C98</f>
        <v>36555</v>
      </c>
      <c r="D99" s="86">
        <f>+D98+D96</f>
        <v>-22606.78</v>
      </c>
      <c r="E99" s="87">
        <f>+E98+E96</f>
        <v>13948.220000000001</v>
      </c>
      <c r="F99" s="88">
        <f>+F98+F96</f>
        <v>12149.93</v>
      </c>
      <c r="G99" s="89">
        <v>0</v>
      </c>
      <c r="H99" s="90">
        <f>+H98+H96</f>
        <v>1798.2900000000009</v>
      </c>
      <c r="I99" s="62"/>
    </row>
    <row r="100" spans="1:9" ht="15.75" thickBot="1" x14ac:dyDescent="0.3">
      <c r="A100" s="101"/>
      <c r="B100" s="38" t="s">
        <v>79</v>
      </c>
      <c r="C100" s="102">
        <f>+C99+C85+C79+C72+C24</f>
        <v>9475399</v>
      </c>
      <c r="D100" s="39">
        <f>+D99+D85+D79+D72+D24</f>
        <v>300000.00000000006</v>
      </c>
      <c r="E100" s="103">
        <f>+E24+E72+E79+E99+E85</f>
        <v>9775399</v>
      </c>
      <c r="F100" s="104">
        <f>+F24+F72+F79+F99+F85</f>
        <v>7441633.379999999</v>
      </c>
      <c r="G100" s="105">
        <f>+G24+G72+G79+G99+G85</f>
        <v>417977.47</v>
      </c>
      <c r="H100" s="106">
        <f>+E100-F100-G100</f>
        <v>1915788.1500000011</v>
      </c>
      <c r="I100" s="107"/>
    </row>
    <row r="101" spans="1:9" x14ac:dyDescent="0.25">
      <c r="C101" s="99"/>
      <c r="D101" s="100"/>
      <c r="E101" s="100"/>
      <c r="F101" s="100"/>
      <c r="G101" s="100"/>
      <c r="H101" s="61"/>
      <c r="I101" s="107"/>
    </row>
  </sheetData>
  <mergeCells count="5">
    <mergeCell ref="B2:I2"/>
    <mergeCell ref="B3:F3"/>
    <mergeCell ref="B4:F4"/>
    <mergeCell ref="A6:H6"/>
    <mergeCell ref="B7:H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"/>
  <sheetViews>
    <sheetView workbookViewId="0">
      <selection sqref="A1:I102"/>
    </sheetView>
  </sheetViews>
  <sheetFormatPr baseColWidth="10" defaultRowHeight="15" x14ac:dyDescent="0.25"/>
  <cols>
    <col min="2" max="2" width="32.28515625" customWidth="1"/>
    <col min="3" max="3" width="13.7109375" customWidth="1"/>
    <col min="4" max="4" width="12.28515625" customWidth="1"/>
    <col min="5" max="5" width="14.140625" customWidth="1"/>
    <col min="6" max="6" width="14.42578125" customWidth="1"/>
    <col min="7" max="7" width="15.85546875" customWidth="1"/>
    <col min="8" max="8" width="14.7109375" customWidth="1"/>
  </cols>
  <sheetData>
    <row r="1" spans="1:9" x14ac:dyDescent="0.25">
      <c r="C1" s="1"/>
    </row>
    <row r="2" spans="1:9" ht="15.75" x14ac:dyDescent="0.25">
      <c r="A2" s="2"/>
      <c r="B2" s="110" t="s">
        <v>0</v>
      </c>
      <c r="C2" s="110"/>
      <c r="D2" s="110"/>
      <c r="E2" s="110"/>
      <c r="F2" s="110"/>
      <c r="G2" s="110"/>
      <c r="H2" s="110"/>
      <c r="I2" s="110"/>
    </row>
    <row r="3" spans="1:9" x14ac:dyDescent="0.25">
      <c r="A3" s="2"/>
      <c r="B3" s="111" t="s">
        <v>1</v>
      </c>
      <c r="C3" s="111"/>
      <c r="D3" s="111"/>
      <c r="E3" s="111"/>
      <c r="F3" s="111"/>
      <c r="G3" s="3"/>
      <c r="H3" s="2"/>
      <c r="I3" s="2"/>
    </row>
    <row r="4" spans="1:9" x14ac:dyDescent="0.25">
      <c r="A4" s="4"/>
      <c r="B4" s="111" t="s">
        <v>2</v>
      </c>
      <c r="C4" s="111"/>
      <c r="D4" s="111"/>
      <c r="E4" s="111"/>
      <c r="F4" s="111"/>
      <c r="G4" s="3"/>
      <c r="H4" s="4"/>
      <c r="I4" s="2"/>
    </row>
    <row r="5" spans="1:9" x14ac:dyDescent="0.25">
      <c r="A5" s="4"/>
      <c r="B5" s="3"/>
      <c r="C5" s="5"/>
      <c r="D5" s="3"/>
      <c r="E5" s="3"/>
      <c r="F5" s="3"/>
      <c r="G5" s="3"/>
      <c r="H5" s="4"/>
      <c r="I5" s="2"/>
    </row>
    <row r="6" spans="1:9" x14ac:dyDescent="0.25">
      <c r="A6" s="112" t="s">
        <v>3</v>
      </c>
      <c r="B6" s="112"/>
      <c r="C6" s="112"/>
      <c r="D6" s="112"/>
      <c r="E6" s="112"/>
      <c r="F6" s="112"/>
      <c r="G6" s="112"/>
      <c r="H6" s="112"/>
      <c r="I6" s="2"/>
    </row>
    <row r="7" spans="1:9" ht="15.75" thickBot="1" x14ac:dyDescent="0.3">
      <c r="A7" s="6"/>
      <c r="B7" s="112" t="s">
        <v>82</v>
      </c>
      <c r="C7" s="112"/>
      <c r="D7" s="112"/>
      <c r="E7" s="112"/>
      <c r="F7" s="112"/>
      <c r="G7" s="112"/>
      <c r="H7" s="112"/>
      <c r="I7" s="2"/>
    </row>
    <row r="8" spans="1:9" ht="15.75" thickBot="1" x14ac:dyDescent="0.3">
      <c r="A8" s="7" t="s">
        <v>5</v>
      </c>
      <c r="B8" s="8" t="s">
        <v>6</v>
      </c>
      <c r="C8" s="9" t="s">
        <v>7</v>
      </c>
      <c r="D8" s="10" t="s">
        <v>8</v>
      </c>
      <c r="E8" s="11" t="s">
        <v>9</v>
      </c>
      <c r="F8" s="12" t="s">
        <v>10</v>
      </c>
      <c r="G8" s="13" t="s">
        <v>11</v>
      </c>
      <c r="H8" s="14" t="s">
        <v>12</v>
      </c>
      <c r="I8" s="15"/>
    </row>
    <row r="9" spans="1:9" x14ac:dyDescent="0.25">
      <c r="A9" s="16">
        <v>51101</v>
      </c>
      <c r="B9" s="17" t="s">
        <v>13</v>
      </c>
      <c r="C9" s="18">
        <v>4981600</v>
      </c>
      <c r="D9" s="18">
        <v>-84599.9</v>
      </c>
      <c r="E9" s="18">
        <f>+C9+D9</f>
        <v>4897000.0999999996</v>
      </c>
      <c r="F9" s="18">
        <v>4365799.93</v>
      </c>
      <c r="G9" s="18">
        <f>162296.13-46233.86</f>
        <v>116062.27</v>
      </c>
      <c r="H9" s="19">
        <f t="shared" ref="H9:H75" si="0">+E9-F9-G9</f>
        <v>415137.89999999991</v>
      </c>
    </row>
    <row r="10" spans="1:9" x14ac:dyDescent="0.25">
      <c r="A10" s="20">
        <v>51103</v>
      </c>
      <c r="B10" s="21" t="s">
        <v>14</v>
      </c>
      <c r="C10" s="22">
        <v>181800</v>
      </c>
      <c r="D10" s="18"/>
      <c r="E10" s="18">
        <f t="shared" ref="E10:E23" si="1">+C10+D10</f>
        <v>181800</v>
      </c>
      <c r="F10" s="18">
        <v>172839.12</v>
      </c>
      <c r="G10" s="18"/>
      <c r="H10" s="19">
        <f t="shared" si="0"/>
        <v>8960.8800000000047</v>
      </c>
    </row>
    <row r="11" spans="1:9" x14ac:dyDescent="0.25">
      <c r="A11" s="20">
        <v>51107</v>
      </c>
      <c r="B11" s="21" t="s">
        <v>15</v>
      </c>
      <c r="C11" s="22">
        <v>0</v>
      </c>
      <c r="D11" s="22">
        <v>115919.88</v>
      </c>
      <c r="E11" s="18">
        <f t="shared" si="1"/>
        <v>115919.88</v>
      </c>
      <c r="F11" s="18">
        <v>114800</v>
      </c>
      <c r="G11" s="18">
        <v>1119.8800000000001</v>
      </c>
      <c r="H11" s="19">
        <f t="shared" si="0"/>
        <v>4.5474735088646412E-12</v>
      </c>
    </row>
    <row r="12" spans="1:9" x14ac:dyDescent="0.25">
      <c r="A12" s="20">
        <v>51201</v>
      </c>
      <c r="B12" s="21" t="s">
        <v>16</v>
      </c>
      <c r="C12" s="22">
        <v>1068700</v>
      </c>
      <c r="D12" s="23">
        <v>-40524.949999999997</v>
      </c>
      <c r="E12" s="18">
        <f t="shared" si="1"/>
        <v>1028175.05</v>
      </c>
      <c r="F12" s="18">
        <v>868173.96</v>
      </c>
      <c r="G12" s="18">
        <f>98007.68-27078.69</f>
        <v>70928.989999999991</v>
      </c>
      <c r="H12" s="19">
        <f t="shared" si="0"/>
        <v>89072.100000000093</v>
      </c>
    </row>
    <row r="13" spans="1:9" x14ac:dyDescent="0.25">
      <c r="A13" s="20">
        <v>51203</v>
      </c>
      <c r="B13" s="21" t="s">
        <v>14</v>
      </c>
      <c r="C13" s="22">
        <v>30600</v>
      </c>
      <c r="D13" s="22"/>
      <c r="E13" s="18">
        <f t="shared" si="1"/>
        <v>30600</v>
      </c>
      <c r="F13" s="18">
        <v>27538.04</v>
      </c>
      <c r="G13" s="18"/>
      <c r="H13" s="19">
        <f t="shared" si="0"/>
        <v>3061.9599999999991</v>
      </c>
    </row>
    <row r="14" spans="1:9" x14ac:dyDescent="0.25">
      <c r="A14" s="20">
        <v>51207</v>
      </c>
      <c r="B14" s="21" t="s">
        <v>15</v>
      </c>
      <c r="C14" s="22">
        <v>0</v>
      </c>
      <c r="D14" s="22">
        <v>18600</v>
      </c>
      <c r="E14" s="18">
        <f t="shared" si="1"/>
        <v>18600</v>
      </c>
      <c r="F14" s="18">
        <v>18600</v>
      </c>
      <c r="G14" s="18"/>
      <c r="H14" s="19">
        <f t="shared" si="0"/>
        <v>0</v>
      </c>
    </row>
    <row r="15" spans="1:9" x14ac:dyDescent="0.25">
      <c r="A15" s="20">
        <v>51401</v>
      </c>
      <c r="B15" s="21" t="s">
        <v>17</v>
      </c>
      <c r="C15" s="22">
        <v>331890</v>
      </c>
      <c r="D15" s="22">
        <v>-12555.71</v>
      </c>
      <c r="E15" s="18">
        <f t="shared" si="1"/>
        <v>319334.28999999998</v>
      </c>
      <c r="F15" s="18">
        <v>266209.59000000003</v>
      </c>
      <c r="G15" s="18">
        <f>34871.15-9422.29</f>
        <v>25448.86</v>
      </c>
      <c r="H15" s="19">
        <f t="shared" si="0"/>
        <v>27675.839999999953</v>
      </c>
    </row>
    <row r="16" spans="1:9" x14ac:dyDescent="0.25">
      <c r="A16" s="20">
        <v>51402</v>
      </c>
      <c r="B16" s="21" t="s">
        <v>18</v>
      </c>
      <c r="C16" s="22">
        <v>57985</v>
      </c>
      <c r="D16" s="22">
        <v>-2471.6</v>
      </c>
      <c r="E16" s="18">
        <f t="shared" si="1"/>
        <v>55513.4</v>
      </c>
      <c r="F16" s="18">
        <v>45587.12</v>
      </c>
      <c r="G16" s="18">
        <f>6879.73-1797.45</f>
        <v>5082.28</v>
      </c>
      <c r="H16" s="19">
        <f t="shared" si="0"/>
        <v>4843.9999999999991</v>
      </c>
    </row>
    <row r="17" spans="1:8" x14ac:dyDescent="0.25">
      <c r="A17" s="20">
        <v>51501</v>
      </c>
      <c r="B17" s="21" t="s">
        <v>19</v>
      </c>
      <c r="C17" s="22">
        <v>320785</v>
      </c>
      <c r="D17" s="22">
        <v>34922.730000000003</v>
      </c>
      <c r="E17" s="18">
        <f t="shared" si="1"/>
        <v>355707.73</v>
      </c>
      <c r="F17" s="18">
        <v>295244.78999999998</v>
      </c>
      <c r="G17" s="18">
        <f>40567.32-10984.72</f>
        <v>29582.6</v>
      </c>
      <c r="H17" s="19">
        <f t="shared" si="0"/>
        <v>30880.340000000004</v>
      </c>
    </row>
    <row r="18" spans="1:8" x14ac:dyDescent="0.25">
      <c r="A18" s="20">
        <v>51502</v>
      </c>
      <c r="B18" s="21" t="s">
        <v>20</v>
      </c>
      <c r="C18" s="22">
        <v>72140</v>
      </c>
      <c r="D18" s="22">
        <v>6863.78</v>
      </c>
      <c r="E18" s="18">
        <f t="shared" si="1"/>
        <v>79003.78</v>
      </c>
      <c r="F18" s="18">
        <v>63729.09</v>
      </c>
      <c r="G18" s="18">
        <f>11222.31-2844.52</f>
        <v>8377.7899999999991</v>
      </c>
      <c r="H18" s="19">
        <f t="shared" si="0"/>
        <v>6896.9000000000033</v>
      </c>
    </row>
    <row r="19" spans="1:8" x14ac:dyDescent="0.25">
      <c r="A19" s="20">
        <v>51601</v>
      </c>
      <c r="B19" s="21" t="s">
        <v>21</v>
      </c>
      <c r="C19" s="22">
        <v>46625</v>
      </c>
      <c r="D19" s="22">
        <v>4.12</v>
      </c>
      <c r="E19" s="18">
        <f t="shared" si="1"/>
        <v>46629.120000000003</v>
      </c>
      <c r="F19" s="18">
        <v>41164.949999999997</v>
      </c>
      <c r="G19" s="18">
        <v>1578.41</v>
      </c>
      <c r="H19" s="19">
        <f t="shared" si="0"/>
        <v>3885.7600000000057</v>
      </c>
    </row>
    <row r="20" spans="1:8" x14ac:dyDescent="0.25">
      <c r="A20" s="20">
        <v>51701</v>
      </c>
      <c r="B20" s="21" t="s">
        <v>22</v>
      </c>
      <c r="C20" s="22">
        <v>54989</v>
      </c>
      <c r="D20" s="22">
        <v>-6466.49</v>
      </c>
      <c r="E20" s="18">
        <f t="shared" si="1"/>
        <v>48522.51</v>
      </c>
      <c r="F20" s="18">
        <v>47132.97</v>
      </c>
      <c r="G20" s="18">
        <f>1400.69-11.15</f>
        <v>1389.54</v>
      </c>
      <c r="H20" s="19">
        <f t="shared" si="0"/>
        <v>0</v>
      </c>
    </row>
    <row r="21" spans="1:8" x14ac:dyDescent="0.25">
      <c r="A21" s="20">
        <v>51702</v>
      </c>
      <c r="B21" s="21" t="s">
        <v>23</v>
      </c>
      <c r="C21" s="22"/>
      <c r="D21" s="22">
        <v>6455.34</v>
      </c>
      <c r="E21" s="18">
        <f t="shared" si="1"/>
        <v>6455.34</v>
      </c>
      <c r="F21" s="18">
        <v>6335.19</v>
      </c>
      <c r="G21" s="18">
        <v>120.15</v>
      </c>
      <c r="H21" s="19">
        <f t="shared" si="0"/>
        <v>5.4001247917767614E-13</v>
      </c>
    </row>
    <row r="22" spans="1:8" x14ac:dyDescent="0.25">
      <c r="A22" s="20">
        <v>51903</v>
      </c>
      <c r="B22" s="21" t="s">
        <v>24</v>
      </c>
      <c r="C22" s="22">
        <v>71895</v>
      </c>
      <c r="D22" s="22">
        <v>-9079.5499999999993</v>
      </c>
      <c r="E22" s="18">
        <f t="shared" si="1"/>
        <v>62815.45</v>
      </c>
      <c r="F22" s="18">
        <v>53344.95</v>
      </c>
      <c r="G22" s="18">
        <f>11630.17-9459.67</f>
        <v>2170.5</v>
      </c>
      <c r="H22" s="19">
        <f t="shared" si="0"/>
        <v>7300</v>
      </c>
    </row>
    <row r="23" spans="1:8" x14ac:dyDescent="0.25">
      <c r="A23" s="20">
        <v>51999</v>
      </c>
      <c r="B23" s="21" t="s">
        <v>25</v>
      </c>
      <c r="C23" s="22">
        <v>17000</v>
      </c>
      <c r="D23" s="22"/>
      <c r="E23" s="18">
        <f t="shared" si="1"/>
        <v>17000</v>
      </c>
      <c r="F23" s="18"/>
      <c r="G23" s="24"/>
      <c r="H23" s="19">
        <f t="shared" si="0"/>
        <v>17000</v>
      </c>
    </row>
    <row r="24" spans="1:8" x14ac:dyDescent="0.25">
      <c r="A24" s="25"/>
      <c r="B24" s="26" t="s">
        <v>26</v>
      </c>
      <c r="C24" s="27">
        <f t="shared" ref="C24:H24" si="2">SUM(C9:C23)</f>
        <v>7236009</v>
      </c>
      <c r="D24" s="28">
        <f t="shared" si="2"/>
        <v>27067.650000000027</v>
      </c>
      <c r="E24" s="29">
        <f t="shared" si="2"/>
        <v>7263076.6499999994</v>
      </c>
      <c r="F24" s="30">
        <f t="shared" si="2"/>
        <v>6386499.7000000002</v>
      </c>
      <c r="G24" s="31">
        <f>SUM(G9:G23)</f>
        <v>261861.27000000002</v>
      </c>
      <c r="H24" s="32">
        <f t="shared" si="2"/>
        <v>614715.67999999993</v>
      </c>
    </row>
    <row r="25" spans="1:8" x14ac:dyDescent="0.25">
      <c r="A25" s="20">
        <v>54101</v>
      </c>
      <c r="B25" s="21" t="s">
        <v>27</v>
      </c>
      <c r="C25" s="22">
        <v>52905</v>
      </c>
      <c r="D25" s="22">
        <v>39349.360000000001</v>
      </c>
      <c r="E25" s="18">
        <f t="shared" ref="E25:E42" si="3">+C25+D25</f>
        <v>92254.36</v>
      </c>
      <c r="F25" s="18">
        <v>80740.69</v>
      </c>
      <c r="G25" s="18">
        <v>8111.93</v>
      </c>
      <c r="H25" s="19">
        <f t="shared" si="0"/>
        <v>3401.739999999998</v>
      </c>
    </row>
    <row r="26" spans="1:8" x14ac:dyDescent="0.25">
      <c r="A26" s="20">
        <v>54103</v>
      </c>
      <c r="B26" s="21" t="s">
        <v>28</v>
      </c>
      <c r="C26" s="22">
        <v>1000</v>
      </c>
      <c r="D26" s="22">
        <v>-420.97</v>
      </c>
      <c r="E26" s="18">
        <f t="shared" si="3"/>
        <v>579.03</v>
      </c>
      <c r="F26" s="18">
        <v>133.03</v>
      </c>
      <c r="G26" s="18">
        <v>446</v>
      </c>
      <c r="H26" s="19">
        <f t="shared" si="0"/>
        <v>0</v>
      </c>
    </row>
    <row r="27" spans="1:8" x14ac:dyDescent="0.25">
      <c r="A27" s="20">
        <v>54104</v>
      </c>
      <c r="B27" s="21" t="s">
        <v>29</v>
      </c>
      <c r="C27" s="22">
        <v>53150</v>
      </c>
      <c r="D27" s="22">
        <v>-1631.8</v>
      </c>
      <c r="E27" s="18">
        <f t="shared" si="3"/>
        <v>51518.2</v>
      </c>
      <c r="F27" s="18">
        <v>40103.93</v>
      </c>
      <c r="G27" s="18">
        <v>4164.3</v>
      </c>
      <c r="H27" s="19">
        <f t="shared" si="0"/>
        <v>7249.9699999999966</v>
      </c>
    </row>
    <row r="28" spans="1:8" x14ac:dyDescent="0.25">
      <c r="A28" s="20">
        <v>54105</v>
      </c>
      <c r="B28" s="21" t="s">
        <v>30</v>
      </c>
      <c r="C28" s="22">
        <v>17135</v>
      </c>
      <c r="D28" s="22">
        <v>9367.36</v>
      </c>
      <c r="E28" s="18">
        <f t="shared" si="3"/>
        <v>26502.36</v>
      </c>
      <c r="F28" s="18">
        <v>25897.37</v>
      </c>
      <c r="G28" s="18">
        <v>596.39</v>
      </c>
      <c r="H28" s="19">
        <f t="shared" si="0"/>
        <v>8.6000000000016144</v>
      </c>
    </row>
    <row r="29" spans="1:8" x14ac:dyDescent="0.25">
      <c r="A29" s="20">
        <v>54106</v>
      </c>
      <c r="B29" s="21" t="s">
        <v>31</v>
      </c>
      <c r="C29" s="22">
        <v>150</v>
      </c>
      <c r="D29" s="22">
        <v>105.81</v>
      </c>
      <c r="E29" s="18">
        <f t="shared" si="3"/>
        <v>255.81</v>
      </c>
      <c r="F29" s="18">
        <v>255.81</v>
      </c>
      <c r="G29" s="18">
        <v>0</v>
      </c>
      <c r="H29" s="19">
        <f t="shared" si="0"/>
        <v>0</v>
      </c>
    </row>
    <row r="30" spans="1:8" x14ac:dyDescent="0.25">
      <c r="A30" s="20">
        <v>54107</v>
      </c>
      <c r="B30" s="21" t="s">
        <v>32</v>
      </c>
      <c r="C30" s="22">
        <v>10800</v>
      </c>
      <c r="D30" s="22">
        <v>3542.83</v>
      </c>
      <c r="E30" s="18">
        <f t="shared" si="3"/>
        <v>14342.83</v>
      </c>
      <c r="F30" s="18">
        <v>12210.12</v>
      </c>
      <c r="G30" s="18">
        <v>995.33</v>
      </c>
      <c r="H30" s="19">
        <f t="shared" si="0"/>
        <v>1137.3799999999992</v>
      </c>
    </row>
    <row r="31" spans="1:8" x14ac:dyDescent="0.25">
      <c r="A31" s="20">
        <v>54108</v>
      </c>
      <c r="B31" s="21" t="s">
        <v>33</v>
      </c>
      <c r="C31" s="22">
        <v>15000</v>
      </c>
      <c r="D31" s="22">
        <v>292.3</v>
      </c>
      <c r="E31" s="18">
        <f t="shared" si="3"/>
        <v>15292.3</v>
      </c>
      <c r="F31" s="18">
        <v>15285.65</v>
      </c>
      <c r="G31" s="18">
        <v>0</v>
      </c>
      <c r="H31" s="19">
        <f t="shared" si="0"/>
        <v>6.6499999999996362</v>
      </c>
    </row>
    <row r="32" spans="1:8" x14ac:dyDescent="0.25">
      <c r="A32" s="20">
        <v>54109</v>
      </c>
      <c r="B32" s="21" t="s">
        <v>34</v>
      </c>
      <c r="C32" s="22">
        <v>4000</v>
      </c>
      <c r="D32" s="22">
        <v>-2000</v>
      </c>
      <c r="E32" s="18">
        <f t="shared" si="3"/>
        <v>2000</v>
      </c>
      <c r="F32" s="18">
        <v>1464.72</v>
      </c>
      <c r="G32" s="18">
        <v>535.28</v>
      </c>
      <c r="H32" s="19">
        <f t="shared" si="0"/>
        <v>0</v>
      </c>
    </row>
    <row r="33" spans="1:8" x14ac:dyDescent="0.25">
      <c r="A33" s="20">
        <v>54110</v>
      </c>
      <c r="B33" s="21" t="s">
        <v>35</v>
      </c>
      <c r="C33" s="22">
        <v>20025</v>
      </c>
      <c r="D33" s="22">
        <v>16.55</v>
      </c>
      <c r="E33" s="18">
        <f t="shared" si="3"/>
        <v>20041.55</v>
      </c>
      <c r="F33" s="18">
        <v>20033.97</v>
      </c>
      <c r="G33" s="18">
        <f>20004-19996.42</f>
        <v>7.5800000000017462</v>
      </c>
      <c r="H33" s="19">
        <f t="shared" si="0"/>
        <v>-3.637978807091713E-12</v>
      </c>
    </row>
    <row r="34" spans="1:8" x14ac:dyDescent="0.25">
      <c r="A34" s="20">
        <v>54111</v>
      </c>
      <c r="B34" s="21" t="s">
        <v>36</v>
      </c>
      <c r="C34" s="22">
        <v>400</v>
      </c>
      <c r="D34" s="22">
        <v>-91.91</v>
      </c>
      <c r="E34" s="18">
        <f t="shared" si="3"/>
        <v>308.09000000000003</v>
      </c>
      <c r="F34" s="18">
        <v>308.08999999999997</v>
      </c>
      <c r="G34" s="18">
        <v>0</v>
      </c>
      <c r="H34" s="19">
        <f t="shared" si="0"/>
        <v>5.6843418860808015E-14</v>
      </c>
    </row>
    <row r="35" spans="1:8" x14ac:dyDescent="0.25">
      <c r="A35" s="20">
        <v>54112</v>
      </c>
      <c r="B35" s="21" t="s">
        <v>37</v>
      </c>
      <c r="C35" s="22">
        <v>1400</v>
      </c>
      <c r="D35" s="22">
        <v>1485</v>
      </c>
      <c r="E35" s="18">
        <f t="shared" si="3"/>
        <v>2885</v>
      </c>
      <c r="F35" s="18">
        <v>2106.4499999999998</v>
      </c>
      <c r="G35" s="18">
        <v>773.91</v>
      </c>
      <c r="H35" s="19">
        <f t="shared" si="0"/>
        <v>4.6400000000002137</v>
      </c>
    </row>
    <row r="36" spans="1:8" x14ac:dyDescent="0.25">
      <c r="A36" s="20">
        <v>54113</v>
      </c>
      <c r="B36" s="21" t="s">
        <v>38</v>
      </c>
      <c r="C36" s="22">
        <v>900</v>
      </c>
      <c r="D36" s="22">
        <v>-198.8</v>
      </c>
      <c r="E36" s="18">
        <f t="shared" si="3"/>
        <v>701.2</v>
      </c>
      <c r="F36" s="18">
        <v>647.6</v>
      </c>
      <c r="G36" s="18">
        <v>53.6</v>
      </c>
      <c r="H36" s="19">
        <f t="shared" si="0"/>
        <v>0</v>
      </c>
    </row>
    <row r="37" spans="1:8" x14ac:dyDescent="0.25">
      <c r="A37" s="20">
        <v>54114</v>
      </c>
      <c r="B37" s="21" t="s">
        <v>39</v>
      </c>
      <c r="C37" s="22">
        <v>5425</v>
      </c>
      <c r="D37" s="22">
        <v>124.2</v>
      </c>
      <c r="E37" s="18">
        <f t="shared" si="3"/>
        <v>5549.2</v>
      </c>
      <c r="F37" s="18">
        <v>5457.22</v>
      </c>
      <c r="G37" s="18">
        <v>91.98</v>
      </c>
      <c r="H37" s="19">
        <f t="shared" si="0"/>
        <v>-4.4053649617126212E-13</v>
      </c>
    </row>
    <row r="38" spans="1:8" x14ac:dyDescent="0.25">
      <c r="A38" s="20">
        <v>54115</v>
      </c>
      <c r="B38" s="21" t="s">
        <v>40</v>
      </c>
      <c r="C38" s="22">
        <v>12000</v>
      </c>
      <c r="D38" s="22">
        <v>2923.87</v>
      </c>
      <c r="E38" s="18">
        <f t="shared" si="3"/>
        <v>14923.869999999999</v>
      </c>
      <c r="F38" s="18">
        <v>12016.03</v>
      </c>
      <c r="G38" s="18">
        <v>2601.2800000000002</v>
      </c>
      <c r="H38" s="19">
        <f t="shared" si="0"/>
        <v>306.55999999999813</v>
      </c>
    </row>
    <row r="39" spans="1:8" x14ac:dyDescent="0.25">
      <c r="A39" s="20">
        <v>54116</v>
      </c>
      <c r="B39" s="21" t="s">
        <v>41</v>
      </c>
      <c r="C39" s="22">
        <v>600</v>
      </c>
      <c r="D39" s="22">
        <v>2695</v>
      </c>
      <c r="E39" s="18">
        <f t="shared" si="3"/>
        <v>3295</v>
      </c>
      <c r="F39" s="18">
        <v>494.3</v>
      </c>
      <c r="G39" s="18">
        <v>140.69999999999999</v>
      </c>
      <c r="H39" s="19">
        <f t="shared" si="0"/>
        <v>2660</v>
      </c>
    </row>
    <row r="40" spans="1:8" x14ac:dyDescent="0.25">
      <c r="A40" s="20">
        <v>54118</v>
      </c>
      <c r="B40" s="21" t="s">
        <v>42</v>
      </c>
      <c r="C40" s="22">
        <v>1750</v>
      </c>
      <c r="D40" s="22">
        <v>1178.52</v>
      </c>
      <c r="E40" s="18">
        <f t="shared" si="3"/>
        <v>2928.52</v>
      </c>
      <c r="F40" s="18">
        <v>1939.01</v>
      </c>
      <c r="G40" s="18">
        <v>365.87</v>
      </c>
      <c r="H40" s="19">
        <f t="shared" si="0"/>
        <v>623.64</v>
      </c>
    </row>
    <row r="41" spans="1:8" x14ac:dyDescent="0.25">
      <c r="A41" s="20">
        <v>54119</v>
      </c>
      <c r="B41" s="21" t="s">
        <v>43</v>
      </c>
      <c r="C41" s="22">
        <v>2000</v>
      </c>
      <c r="D41" s="22">
        <v>3615.12</v>
      </c>
      <c r="E41" s="18">
        <f t="shared" si="3"/>
        <v>5615.12</v>
      </c>
      <c r="F41" s="18">
        <v>3200.55</v>
      </c>
      <c r="G41" s="18">
        <v>5.42</v>
      </c>
      <c r="H41" s="19">
        <f t="shared" si="0"/>
        <v>2409.1499999999996</v>
      </c>
    </row>
    <row r="42" spans="1:8" ht="15.75" thickBot="1" x14ac:dyDescent="0.3">
      <c r="A42" s="33">
        <v>54199</v>
      </c>
      <c r="B42" s="34" t="s">
        <v>44</v>
      </c>
      <c r="C42" s="35">
        <v>479395</v>
      </c>
      <c r="D42" s="35">
        <v>-5206.22</v>
      </c>
      <c r="E42" s="18">
        <f t="shared" si="3"/>
        <v>474188.78</v>
      </c>
      <c r="F42" s="18">
        <v>407887.09</v>
      </c>
      <c r="G42" s="18">
        <v>13109.59</v>
      </c>
      <c r="H42" s="36">
        <f t="shared" si="0"/>
        <v>53192.100000000006</v>
      </c>
    </row>
    <row r="43" spans="1:8" ht="15.75" thickBot="1" x14ac:dyDescent="0.3">
      <c r="A43" s="37"/>
      <c r="B43" s="38" t="s">
        <v>45</v>
      </c>
      <c r="C43" s="39">
        <f>SUM(C25:C42)</f>
        <v>678035</v>
      </c>
      <c r="D43" s="39">
        <f>SUM(D25:D42)</f>
        <v>55146.219999999994</v>
      </c>
      <c r="E43" s="39">
        <f>SUM(E25:E42)</f>
        <v>733181.22</v>
      </c>
      <c r="F43" s="39">
        <f>SUM(F25:F42)</f>
        <v>630181.63</v>
      </c>
      <c r="G43" s="39">
        <f>SUM(G25:G42)</f>
        <v>31999.16</v>
      </c>
      <c r="H43" s="40">
        <f t="shared" si="0"/>
        <v>71000.429999999964</v>
      </c>
    </row>
    <row r="44" spans="1:8" x14ac:dyDescent="0.25">
      <c r="A44" s="41"/>
      <c r="B44" s="42"/>
      <c r="C44" s="43"/>
      <c r="D44" s="44"/>
      <c r="E44" s="44"/>
      <c r="F44" s="44"/>
      <c r="G44" s="44"/>
      <c r="H44" s="45"/>
    </row>
    <row r="45" spans="1:8" x14ac:dyDescent="0.25">
      <c r="A45" s="41"/>
      <c r="B45" s="42"/>
      <c r="C45" s="43"/>
      <c r="D45" s="44"/>
      <c r="E45" s="44"/>
      <c r="F45" s="44"/>
      <c r="G45" s="44"/>
      <c r="H45" s="45"/>
    </row>
    <row r="46" spans="1:8" ht="15.75" thickBot="1" x14ac:dyDescent="0.3">
      <c r="A46" s="41"/>
      <c r="B46" s="42"/>
      <c r="C46" s="43"/>
      <c r="D46" s="44"/>
      <c r="E46" s="44"/>
      <c r="F46" s="44"/>
      <c r="G46" s="44"/>
      <c r="H46" s="45"/>
    </row>
    <row r="47" spans="1:8" ht="15.75" thickBot="1" x14ac:dyDescent="0.3">
      <c r="A47" s="7" t="s">
        <v>5</v>
      </c>
      <c r="B47" s="8" t="s">
        <v>6</v>
      </c>
      <c r="C47" s="46" t="s">
        <v>7</v>
      </c>
      <c r="D47" s="10" t="s">
        <v>8</v>
      </c>
      <c r="E47" s="47" t="s">
        <v>46</v>
      </c>
      <c r="F47" s="48" t="s">
        <v>10</v>
      </c>
      <c r="G47" s="49" t="s">
        <v>11</v>
      </c>
      <c r="H47" s="50" t="s">
        <v>12</v>
      </c>
    </row>
    <row r="48" spans="1:8" x14ac:dyDescent="0.25">
      <c r="A48" s="51">
        <v>54201</v>
      </c>
      <c r="B48" s="52" t="s">
        <v>47</v>
      </c>
      <c r="C48" s="53">
        <v>191255</v>
      </c>
      <c r="D48" s="53">
        <v>-12428.52</v>
      </c>
      <c r="E48" s="18">
        <f t="shared" ref="E48:E51" si="4">+C48+D48</f>
        <v>178826.48</v>
      </c>
      <c r="F48" s="18">
        <v>141183.74</v>
      </c>
      <c r="G48" s="18">
        <f>23689.96-3698.3</f>
        <v>19991.66</v>
      </c>
      <c r="H48" s="54">
        <f t="shared" si="0"/>
        <v>17651.08000000002</v>
      </c>
    </row>
    <row r="49" spans="1:8" x14ac:dyDescent="0.25">
      <c r="A49" s="20">
        <v>54202</v>
      </c>
      <c r="B49" s="21" t="s">
        <v>48</v>
      </c>
      <c r="C49" s="22">
        <v>43800</v>
      </c>
      <c r="D49" s="22">
        <v>-3140.09</v>
      </c>
      <c r="E49" s="18">
        <f>+C49+D49</f>
        <v>40659.910000000003</v>
      </c>
      <c r="F49" s="18">
        <v>19163.16</v>
      </c>
      <c r="G49" s="18">
        <v>12207.36</v>
      </c>
      <c r="H49" s="19">
        <f t="shared" si="0"/>
        <v>9289.3900000000031</v>
      </c>
    </row>
    <row r="50" spans="1:8" x14ac:dyDescent="0.25">
      <c r="A50" s="33">
        <v>54203</v>
      </c>
      <c r="B50" s="34" t="s">
        <v>49</v>
      </c>
      <c r="C50" s="35">
        <v>188800</v>
      </c>
      <c r="D50" s="35">
        <v>-39923.89</v>
      </c>
      <c r="E50" s="18">
        <f t="shared" si="4"/>
        <v>148876.10999999999</v>
      </c>
      <c r="F50" s="18">
        <v>112551.38</v>
      </c>
      <c r="G50" s="18">
        <f>43168.84-23369.35</f>
        <v>19799.489999999998</v>
      </c>
      <c r="H50" s="36">
        <f t="shared" si="0"/>
        <v>16525.239999999983</v>
      </c>
    </row>
    <row r="51" spans="1:8" x14ac:dyDescent="0.25">
      <c r="A51" s="20">
        <v>54204</v>
      </c>
      <c r="B51" s="21" t="s">
        <v>50</v>
      </c>
      <c r="C51" s="22">
        <v>1200</v>
      </c>
      <c r="D51" s="22">
        <v>-274.57</v>
      </c>
      <c r="E51" s="18">
        <f t="shared" si="4"/>
        <v>925.43000000000006</v>
      </c>
      <c r="F51" s="18">
        <v>98.53</v>
      </c>
      <c r="G51" s="18">
        <v>600</v>
      </c>
      <c r="H51" s="55">
        <f t="shared" si="0"/>
        <v>226.90000000000009</v>
      </c>
    </row>
    <row r="52" spans="1:8" x14ac:dyDescent="0.25">
      <c r="A52" s="56"/>
      <c r="B52" s="26" t="s">
        <v>45</v>
      </c>
      <c r="C52" s="28">
        <f>SUM(C48:C51)</f>
        <v>425055</v>
      </c>
      <c r="D52" s="28">
        <f>SUM(D48:D51)</f>
        <v>-55767.07</v>
      </c>
      <c r="E52" s="28">
        <f>SUM(E48:E51)</f>
        <v>369287.93</v>
      </c>
      <c r="F52" s="28">
        <f>SUM(F48:F51)</f>
        <v>272996.81000000006</v>
      </c>
      <c r="G52" s="28">
        <f>SUM(G48:G51)</f>
        <v>52598.509999999995</v>
      </c>
      <c r="H52" s="57">
        <f t="shared" si="0"/>
        <v>43692.609999999942</v>
      </c>
    </row>
    <row r="53" spans="1:8" x14ac:dyDescent="0.25">
      <c r="A53" s="20">
        <v>54301</v>
      </c>
      <c r="B53" s="21" t="s">
        <v>51</v>
      </c>
      <c r="C53" s="22">
        <v>35000</v>
      </c>
      <c r="D53" s="22">
        <v>-4388.2</v>
      </c>
      <c r="E53" s="18">
        <f t="shared" ref="E53:E64" si="5">+C53+D53</f>
        <v>30611.8</v>
      </c>
      <c r="F53" s="18">
        <v>20619.22</v>
      </c>
      <c r="G53" s="18">
        <v>8352.58</v>
      </c>
      <c r="H53" s="55">
        <f t="shared" si="0"/>
        <v>1639.9999999999982</v>
      </c>
    </row>
    <row r="54" spans="1:8" x14ac:dyDescent="0.25">
      <c r="A54" s="16">
        <v>54302</v>
      </c>
      <c r="B54" s="17" t="s">
        <v>52</v>
      </c>
      <c r="C54" s="18">
        <v>63000</v>
      </c>
      <c r="D54" s="18">
        <v>-1286.67</v>
      </c>
      <c r="E54" s="18">
        <f t="shared" si="5"/>
        <v>61713.33</v>
      </c>
      <c r="F54" s="18">
        <v>47796.47</v>
      </c>
      <c r="G54" s="18">
        <v>11110.52</v>
      </c>
      <c r="H54" s="19">
        <f t="shared" si="0"/>
        <v>2806.34</v>
      </c>
    </row>
    <row r="55" spans="1:8" x14ac:dyDescent="0.25">
      <c r="A55" s="20">
        <v>54304</v>
      </c>
      <c r="B55" s="21" t="s">
        <v>53</v>
      </c>
      <c r="C55" s="22">
        <v>2000</v>
      </c>
      <c r="D55" s="22">
        <v>1909.42</v>
      </c>
      <c r="E55" s="18">
        <f t="shared" si="5"/>
        <v>3909.42</v>
      </c>
      <c r="F55" s="18">
        <v>3193.55</v>
      </c>
      <c r="G55" s="18">
        <v>715.87</v>
      </c>
      <c r="H55" s="55">
        <f t="shared" si="0"/>
        <v>0</v>
      </c>
    </row>
    <row r="56" spans="1:8" x14ac:dyDescent="0.25">
      <c r="A56" s="20">
        <v>54305</v>
      </c>
      <c r="B56" s="21" t="s">
        <v>54</v>
      </c>
      <c r="C56" s="22">
        <v>74200</v>
      </c>
      <c r="D56" s="22">
        <v>-38905.040000000001</v>
      </c>
      <c r="E56" s="18">
        <f t="shared" si="5"/>
        <v>35294.959999999999</v>
      </c>
      <c r="F56" s="18">
        <v>1021.25</v>
      </c>
      <c r="G56" s="18">
        <v>32334.99</v>
      </c>
      <c r="H56" s="55">
        <f t="shared" si="0"/>
        <v>1938.7199999999975</v>
      </c>
    </row>
    <row r="57" spans="1:8" x14ac:dyDescent="0.25">
      <c r="A57" s="20">
        <v>54306</v>
      </c>
      <c r="B57" s="21" t="s">
        <v>83</v>
      </c>
      <c r="C57" s="22"/>
      <c r="D57" s="22">
        <v>360</v>
      </c>
      <c r="E57" s="18">
        <f t="shared" si="5"/>
        <v>360</v>
      </c>
      <c r="F57" s="18">
        <v>360</v>
      </c>
      <c r="G57" s="18">
        <v>0</v>
      </c>
      <c r="H57" s="55">
        <f t="shared" si="0"/>
        <v>0</v>
      </c>
    </row>
    <row r="58" spans="1:8" x14ac:dyDescent="0.25">
      <c r="A58" s="20">
        <v>54307</v>
      </c>
      <c r="B58" s="21" t="s">
        <v>55</v>
      </c>
      <c r="C58" s="22">
        <v>13000</v>
      </c>
      <c r="D58" s="22">
        <v>-2681</v>
      </c>
      <c r="E58" s="18">
        <f t="shared" si="5"/>
        <v>10319</v>
      </c>
      <c r="F58" s="18">
        <v>6437.36</v>
      </c>
      <c r="G58" s="18">
        <v>3010.32</v>
      </c>
      <c r="H58" s="55">
        <f t="shared" si="0"/>
        <v>871.32000000000016</v>
      </c>
    </row>
    <row r="59" spans="1:8" x14ac:dyDescent="0.25">
      <c r="A59" s="20">
        <v>54308</v>
      </c>
      <c r="B59" s="21" t="s">
        <v>56</v>
      </c>
      <c r="C59" s="22">
        <v>0</v>
      </c>
      <c r="D59" s="22">
        <v>1266</v>
      </c>
      <c r="E59" s="18">
        <f t="shared" si="5"/>
        <v>1266</v>
      </c>
      <c r="F59" s="18">
        <v>1266</v>
      </c>
      <c r="G59" s="18">
        <v>0</v>
      </c>
      <c r="H59" s="55">
        <f t="shared" si="0"/>
        <v>0</v>
      </c>
    </row>
    <row r="60" spans="1:8" x14ac:dyDescent="0.25">
      <c r="A60" s="20">
        <v>54313</v>
      </c>
      <c r="B60" s="21" t="s">
        <v>57</v>
      </c>
      <c r="C60" s="22">
        <v>33900</v>
      </c>
      <c r="D60" s="22">
        <v>49693.82</v>
      </c>
      <c r="E60" s="18">
        <f t="shared" si="5"/>
        <v>83593.820000000007</v>
      </c>
      <c r="F60" s="18">
        <v>11551.6</v>
      </c>
      <c r="G60" s="18">
        <v>12284.52</v>
      </c>
      <c r="H60" s="55">
        <f t="shared" si="0"/>
        <v>59757.7</v>
      </c>
    </row>
    <row r="61" spans="1:8" x14ac:dyDescent="0.25">
      <c r="A61" s="20">
        <v>54314</v>
      </c>
      <c r="B61" s="21" t="s">
        <v>58</v>
      </c>
      <c r="C61" s="22">
        <v>47000</v>
      </c>
      <c r="D61" s="22">
        <v>-2.38</v>
      </c>
      <c r="E61" s="18">
        <f t="shared" si="5"/>
        <v>46997.62</v>
      </c>
      <c r="F61" s="18">
        <v>22600.11</v>
      </c>
      <c r="G61" s="18">
        <v>10798</v>
      </c>
      <c r="H61" s="55">
        <f t="shared" si="0"/>
        <v>13599.510000000002</v>
      </c>
    </row>
    <row r="62" spans="1:8" x14ac:dyDescent="0.25">
      <c r="A62" s="20">
        <v>54316</v>
      </c>
      <c r="B62" s="21" t="s">
        <v>59</v>
      </c>
      <c r="C62" s="22">
        <v>24000</v>
      </c>
      <c r="D62" s="22">
        <v>-251.74</v>
      </c>
      <c r="E62" s="18">
        <f t="shared" si="5"/>
        <v>23748.26</v>
      </c>
      <c r="F62" s="18">
        <v>21303.06</v>
      </c>
      <c r="G62" s="18">
        <v>1767.2</v>
      </c>
      <c r="H62" s="55">
        <f t="shared" si="0"/>
        <v>677.99999999999704</v>
      </c>
    </row>
    <row r="63" spans="1:8" x14ac:dyDescent="0.25">
      <c r="A63" s="20">
        <v>54317</v>
      </c>
      <c r="B63" s="21" t="s">
        <v>60</v>
      </c>
      <c r="C63" s="22">
        <v>584880</v>
      </c>
      <c r="D63" s="22">
        <v>0</v>
      </c>
      <c r="E63" s="18">
        <f t="shared" si="5"/>
        <v>584880</v>
      </c>
      <c r="F63" s="18">
        <v>584872.92000000004</v>
      </c>
      <c r="G63" s="18">
        <v>3.54</v>
      </c>
      <c r="H63" s="55">
        <f t="shared" si="0"/>
        <v>3.5399999999580904</v>
      </c>
    </row>
    <row r="64" spans="1:8" x14ac:dyDescent="0.25">
      <c r="A64" s="20">
        <v>54399</v>
      </c>
      <c r="B64" s="21" t="s">
        <v>61</v>
      </c>
      <c r="C64" s="22">
        <v>49280</v>
      </c>
      <c r="D64" s="22">
        <v>166313.12</v>
      </c>
      <c r="E64" s="18">
        <f t="shared" si="5"/>
        <v>215593.12</v>
      </c>
      <c r="F64" s="18">
        <v>53621.01</v>
      </c>
      <c r="G64" s="18">
        <v>2869</v>
      </c>
      <c r="H64" s="55">
        <f t="shared" si="0"/>
        <v>159103.10999999999</v>
      </c>
    </row>
    <row r="65" spans="1:9" x14ac:dyDescent="0.25">
      <c r="A65" s="56"/>
      <c r="B65" s="26" t="s">
        <v>45</v>
      </c>
      <c r="C65" s="28">
        <f>SUM(C53:C64)</f>
        <v>926260</v>
      </c>
      <c r="D65" s="28">
        <f>SUM(D53:D64)</f>
        <v>172027.33</v>
      </c>
      <c r="E65" s="28">
        <f>SUM(E53:E64)</f>
        <v>1098287.33</v>
      </c>
      <c r="F65" s="28">
        <f>SUM(F53:F64)</f>
        <v>774642.55</v>
      </c>
      <c r="G65" s="28">
        <f>SUM(G53:G64)</f>
        <v>83246.539999999994</v>
      </c>
      <c r="H65" s="57">
        <f t="shared" si="0"/>
        <v>240398.24000000005</v>
      </c>
    </row>
    <row r="66" spans="1:9" x14ac:dyDescent="0.25">
      <c r="A66" s="20">
        <v>54402</v>
      </c>
      <c r="B66" s="21" t="s">
        <v>62</v>
      </c>
      <c r="C66" s="22">
        <v>8000</v>
      </c>
      <c r="D66" s="22">
        <v>4312.9399999999996</v>
      </c>
      <c r="E66" s="18">
        <f t="shared" ref="E66:E68" si="6">+C66+D66</f>
        <v>12312.939999999999</v>
      </c>
      <c r="F66" s="18">
        <v>12312.94</v>
      </c>
      <c r="G66" s="22">
        <v>0</v>
      </c>
      <c r="H66" s="55">
        <f t="shared" si="0"/>
        <v>-1.8189894035458565E-12</v>
      </c>
    </row>
    <row r="67" spans="1:9" x14ac:dyDescent="0.25">
      <c r="A67" s="20">
        <v>54403</v>
      </c>
      <c r="B67" s="21" t="s">
        <v>63</v>
      </c>
      <c r="C67" s="22">
        <v>11460</v>
      </c>
      <c r="D67" s="22">
        <v>-981</v>
      </c>
      <c r="E67" s="18">
        <f t="shared" si="6"/>
        <v>10479</v>
      </c>
      <c r="F67" s="18">
        <v>5904</v>
      </c>
      <c r="G67" s="18">
        <v>2362</v>
      </c>
      <c r="H67" s="55">
        <f t="shared" si="0"/>
        <v>2213</v>
      </c>
    </row>
    <row r="68" spans="1:9" x14ac:dyDescent="0.25">
      <c r="A68" s="20">
        <v>54404</v>
      </c>
      <c r="B68" s="21" t="s">
        <v>64</v>
      </c>
      <c r="C68" s="22">
        <v>20000</v>
      </c>
      <c r="D68" s="22">
        <v>21396.93</v>
      </c>
      <c r="E68" s="18">
        <f t="shared" si="6"/>
        <v>41396.93</v>
      </c>
      <c r="F68" s="18">
        <v>41290</v>
      </c>
      <c r="G68" s="18">
        <v>0</v>
      </c>
      <c r="H68" s="55">
        <f t="shared" si="0"/>
        <v>106.93000000000029</v>
      </c>
    </row>
    <row r="69" spans="1:9" x14ac:dyDescent="0.25">
      <c r="A69" s="56"/>
      <c r="B69" s="26" t="s">
        <v>45</v>
      </c>
      <c r="C69" s="28">
        <f>SUM(C66:C68)</f>
        <v>39460</v>
      </c>
      <c r="D69" s="28">
        <f>SUM(D66:D68)</f>
        <v>24728.87</v>
      </c>
      <c r="E69" s="28">
        <f>SUM(E66:E68)</f>
        <v>64188.869999999995</v>
      </c>
      <c r="F69" s="28">
        <f>SUM(F66:F68)</f>
        <v>59506.94</v>
      </c>
      <c r="G69" s="28">
        <f>SUM(G66:G68)</f>
        <v>2362</v>
      </c>
      <c r="H69" s="57">
        <f t="shared" si="0"/>
        <v>2319.929999999993</v>
      </c>
    </row>
    <row r="70" spans="1:9" x14ac:dyDescent="0.25">
      <c r="A70" s="20">
        <v>54505</v>
      </c>
      <c r="B70" s="21" t="s">
        <v>65</v>
      </c>
      <c r="C70" s="22">
        <v>4000</v>
      </c>
      <c r="D70" s="22">
        <v>680</v>
      </c>
      <c r="E70" s="18">
        <f t="shared" ref="E70:E71" si="7">+C70+D70</f>
        <v>4680</v>
      </c>
      <c r="F70" s="18">
        <v>1690</v>
      </c>
      <c r="G70" s="18">
        <v>2000</v>
      </c>
      <c r="H70" s="55">
        <f t="shared" si="0"/>
        <v>990</v>
      </c>
    </row>
    <row r="71" spans="1:9" x14ac:dyDescent="0.25">
      <c r="A71" s="20">
        <v>54599</v>
      </c>
      <c r="B71" s="21" t="s">
        <v>66</v>
      </c>
      <c r="C71" s="22">
        <v>34100</v>
      </c>
      <c r="D71" s="22">
        <v>-7300</v>
      </c>
      <c r="E71" s="18">
        <f t="shared" si="7"/>
        <v>26800</v>
      </c>
      <c r="F71" s="18">
        <v>11300</v>
      </c>
      <c r="G71" s="18">
        <v>15500</v>
      </c>
      <c r="H71" s="55">
        <f t="shared" si="0"/>
        <v>0</v>
      </c>
    </row>
    <row r="72" spans="1:9" x14ac:dyDescent="0.25">
      <c r="A72" s="56"/>
      <c r="B72" s="26" t="s">
        <v>45</v>
      </c>
      <c r="C72" s="28">
        <f>SUM(C70:C71)</f>
        <v>38100</v>
      </c>
      <c r="D72" s="28">
        <f>SUM(D70:D71)</f>
        <v>-6620</v>
      </c>
      <c r="E72" s="28">
        <f>SUM(E70:E71)</f>
        <v>31480</v>
      </c>
      <c r="F72" s="28">
        <f>SUM(F70:F71)</f>
        <v>12990</v>
      </c>
      <c r="G72" s="28">
        <f>SUM(G70:G71)</f>
        <v>17500</v>
      </c>
      <c r="H72" s="55">
        <f t="shared" si="0"/>
        <v>990</v>
      </c>
    </row>
    <row r="73" spans="1:9" x14ac:dyDescent="0.25">
      <c r="A73" s="58"/>
      <c r="B73" s="26" t="s">
        <v>26</v>
      </c>
      <c r="C73" s="28">
        <f>+C72+C69+C65+C52+C43</f>
        <v>2106910</v>
      </c>
      <c r="D73" s="28">
        <f>+D43+D52+D65+D69+D72</f>
        <v>189515.34999999998</v>
      </c>
      <c r="E73" s="29">
        <f>+E72+E69+E65+E52+E43</f>
        <v>2296425.35</v>
      </c>
      <c r="F73" s="30">
        <f>+F72+F69+F65+F52+F43</f>
        <v>1750317.9300000002</v>
      </c>
      <c r="G73" s="59">
        <f>+G72+G69+G65+G52+G43</f>
        <v>187706.21</v>
      </c>
      <c r="H73" s="60">
        <f t="shared" si="0"/>
        <v>358401.20999999996</v>
      </c>
    </row>
    <row r="74" spans="1:9" x14ac:dyDescent="0.25">
      <c r="A74" s="20">
        <v>55599</v>
      </c>
      <c r="B74" s="21" t="s">
        <v>67</v>
      </c>
      <c r="C74" s="22">
        <v>3400</v>
      </c>
      <c r="D74" s="22">
        <v>-113</v>
      </c>
      <c r="E74" s="18">
        <f>+C74+D74</f>
        <v>3287</v>
      </c>
      <c r="F74" s="18">
        <v>2718.64</v>
      </c>
      <c r="G74" s="18">
        <f>681.36-113</f>
        <v>568.36</v>
      </c>
      <c r="H74" s="55">
        <f t="shared" si="0"/>
        <v>0</v>
      </c>
    </row>
    <row r="75" spans="1:9" x14ac:dyDescent="0.25">
      <c r="A75" s="56"/>
      <c r="B75" s="26" t="s">
        <v>45</v>
      </c>
      <c r="C75" s="28">
        <f>SUM(C74)</f>
        <v>3400</v>
      </c>
      <c r="D75" s="28">
        <f>SUM(D74)</f>
        <v>-113</v>
      </c>
      <c r="E75" s="28">
        <f>SUM(E74)</f>
        <v>3287</v>
      </c>
      <c r="F75" s="28">
        <f>SUM(F74)</f>
        <v>2718.64</v>
      </c>
      <c r="G75" s="28">
        <f>SUM(G74)</f>
        <v>568.36</v>
      </c>
      <c r="H75" s="55">
        <f t="shared" si="0"/>
        <v>0</v>
      </c>
    </row>
    <row r="76" spans="1:9" x14ac:dyDescent="0.25">
      <c r="A76" s="20">
        <v>55601</v>
      </c>
      <c r="B76" s="21" t="s">
        <v>68</v>
      </c>
      <c r="C76" s="22">
        <v>47000</v>
      </c>
      <c r="D76" s="22">
        <v>1457.22</v>
      </c>
      <c r="E76" s="18">
        <f t="shared" ref="E76:E78" si="8">+C76+D76</f>
        <v>48457.22</v>
      </c>
      <c r="F76" s="18">
        <v>48457.22</v>
      </c>
      <c r="G76" s="18">
        <v>0</v>
      </c>
      <c r="H76" s="55">
        <f t="shared" ref="H76:H99" si="9">+E76-F76-G76</f>
        <v>0</v>
      </c>
    </row>
    <row r="77" spans="1:9" x14ac:dyDescent="0.25">
      <c r="A77" s="20">
        <v>55602</v>
      </c>
      <c r="B77" s="21" t="s">
        <v>69</v>
      </c>
      <c r="C77" s="22">
        <v>36000</v>
      </c>
      <c r="D77" s="22">
        <v>21262.560000000001</v>
      </c>
      <c r="E77" s="18">
        <f t="shared" si="8"/>
        <v>57262.559999999998</v>
      </c>
      <c r="F77" s="18">
        <v>57147.74</v>
      </c>
      <c r="G77" s="18">
        <v>1.82</v>
      </c>
      <c r="H77" s="55">
        <f t="shared" si="9"/>
        <v>112.99999999999972</v>
      </c>
    </row>
    <row r="78" spans="1:9" x14ac:dyDescent="0.25">
      <c r="A78" s="20">
        <v>55603</v>
      </c>
      <c r="B78" s="21" t="s">
        <v>70</v>
      </c>
      <c r="C78" s="22">
        <v>25</v>
      </c>
      <c r="D78" s="22">
        <v>0</v>
      </c>
      <c r="E78" s="18">
        <f t="shared" si="8"/>
        <v>25</v>
      </c>
      <c r="F78" s="18">
        <v>25</v>
      </c>
      <c r="G78" s="22">
        <v>0</v>
      </c>
      <c r="H78" s="55">
        <f t="shared" si="9"/>
        <v>0</v>
      </c>
    </row>
    <row r="79" spans="1:9" x14ac:dyDescent="0.25">
      <c r="A79" s="56"/>
      <c r="B79" s="26" t="s">
        <v>45</v>
      </c>
      <c r="C79" s="28">
        <f>SUM(C76:C78)</f>
        <v>83025</v>
      </c>
      <c r="D79" s="28">
        <f>SUM(D76:D77)</f>
        <v>22719.780000000002</v>
      </c>
      <c r="E79" s="28">
        <f>SUM(E76:E78)</f>
        <v>105744.78</v>
      </c>
      <c r="F79" s="28">
        <f>SUM(F76:F78)</f>
        <v>105629.95999999999</v>
      </c>
      <c r="G79" s="28">
        <f>SUM(G76:G78)</f>
        <v>1.82</v>
      </c>
      <c r="H79" s="55">
        <f t="shared" si="9"/>
        <v>113.00000000000699</v>
      </c>
      <c r="I79" s="61"/>
    </row>
    <row r="80" spans="1:9" x14ac:dyDescent="0.25">
      <c r="A80" s="58"/>
      <c r="B80" s="26" t="s">
        <v>26</v>
      </c>
      <c r="C80" s="28">
        <f>+C79+C75</f>
        <v>86425</v>
      </c>
      <c r="D80" s="28">
        <f>+D75+D79</f>
        <v>22606.780000000002</v>
      </c>
      <c r="E80" s="29">
        <f>+E79+E75</f>
        <v>109031.78</v>
      </c>
      <c r="F80" s="30">
        <f>+F79+F75</f>
        <v>108348.59999999999</v>
      </c>
      <c r="G80" s="59">
        <f>+G75+G79</f>
        <v>570.18000000000006</v>
      </c>
      <c r="H80" s="60">
        <f t="shared" si="9"/>
        <v>113.0000000000075</v>
      </c>
      <c r="I80" s="61"/>
    </row>
    <row r="81" spans="1:9" x14ac:dyDescent="0.25">
      <c r="A81" s="20">
        <v>56303</v>
      </c>
      <c r="B81" s="21" t="s">
        <v>71</v>
      </c>
      <c r="C81" s="22">
        <v>4000</v>
      </c>
      <c r="D81" s="22"/>
      <c r="E81" s="18">
        <f t="shared" ref="E81:E82" si="10">+C81+D81</f>
        <v>4000</v>
      </c>
      <c r="F81" s="18"/>
      <c r="G81" s="22">
        <v>2000</v>
      </c>
      <c r="H81" s="55">
        <f t="shared" si="9"/>
        <v>2000</v>
      </c>
      <c r="I81" s="62"/>
    </row>
    <row r="82" spans="1:9" x14ac:dyDescent="0.25">
      <c r="A82" s="20">
        <v>56304</v>
      </c>
      <c r="B82" s="21" t="s">
        <v>72</v>
      </c>
      <c r="C82" s="22">
        <v>0</v>
      </c>
      <c r="D82" s="22">
        <v>0</v>
      </c>
      <c r="E82" s="18">
        <f t="shared" si="10"/>
        <v>0</v>
      </c>
      <c r="F82" s="18">
        <v>0</v>
      </c>
      <c r="G82" s="22">
        <v>0</v>
      </c>
      <c r="H82" s="55">
        <f t="shared" si="9"/>
        <v>0</v>
      </c>
      <c r="I82" s="62"/>
    </row>
    <row r="83" spans="1:9" x14ac:dyDescent="0.25">
      <c r="A83" s="56"/>
      <c r="B83" s="26" t="s">
        <v>45</v>
      </c>
      <c r="C83" s="28">
        <f>C82+C81</f>
        <v>4000</v>
      </c>
      <c r="D83" s="28">
        <f>SUM(D81:D82)</f>
        <v>0</v>
      </c>
      <c r="E83" s="28">
        <f>SUM(E81:E82)</f>
        <v>4000</v>
      </c>
      <c r="F83" s="28">
        <f>SUM(F81:F82)</f>
        <v>0</v>
      </c>
      <c r="G83" s="28">
        <f>SUM(G81)</f>
        <v>2000</v>
      </c>
      <c r="H83" s="57">
        <f t="shared" si="9"/>
        <v>2000</v>
      </c>
      <c r="I83" s="62"/>
    </row>
    <row r="84" spans="1:9" x14ac:dyDescent="0.25">
      <c r="A84" s="20">
        <v>56404</v>
      </c>
      <c r="B84" s="21" t="s">
        <v>73</v>
      </c>
      <c r="C84" s="22">
        <v>5500</v>
      </c>
      <c r="D84" s="22"/>
      <c r="E84" s="18">
        <f>+C84+D84</f>
        <v>5500</v>
      </c>
      <c r="F84" s="18">
        <v>5121.01</v>
      </c>
      <c r="G84" s="22">
        <v>378.99</v>
      </c>
      <c r="H84" s="55">
        <f t="shared" si="9"/>
        <v>0</v>
      </c>
      <c r="I84" s="62"/>
    </row>
    <row r="85" spans="1:9" ht="15.75" thickBot="1" x14ac:dyDescent="0.3">
      <c r="A85" s="63"/>
      <c r="B85" s="64" t="s">
        <v>45</v>
      </c>
      <c r="C85" s="65">
        <f>SUM(C84)</f>
        <v>5500</v>
      </c>
      <c r="D85" s="65">
        <f>SUM(D84)</f>
        <v>0</v>
      </c>
      <c r="E85" s="65">
        <f>SUM(E84)</f>
        <v>5500</v>
      </c>
      <c r="F85" s="65">
        <f>SUM(F84)</f>
        <v>5121.01</v>
      </c>
      <c r="G85" s="65">
        <f>SUM(G84)</f>
        <v>378.99</v>
      </c>
      <c r="H85" s="66">
        <f t="shared" si="9"/>
        <v>0</v>
      </c>
      <c r="I85" s="62"/>
    </row>
    <row r="86" spans="1:9" ht="15.75" thickBot="1" x14ac:dyDescent="0.3">
      <c r="A86" s="67"/>
      <c r="B86" s="68" t="s">
        <v>26</v>
      </c>
      <c r="C86" s="69">
        <f>+C83+C85</f>
        <v>9500</v>
      </c>
      <c r="D86" s="69">
        <f t="shared" ref="D86:H86" si="11">+D83+D85</f>
        <v>0</v>
      </c>
      <c r="E86" s="70">
        <f t="shared" si="11"/>
        <v>9500</v>
      </c>
      <c r="F86" s="71">
        <f t="shared" si="11"/>
        <v>5121.01</v>
      </c>
      <c r="G86" s="72">
        <f t="shared" si="11"/>
        <v>2378.9899999999998</v>
      </c>
      <c r="H86" s="73">
        <f t="shared" si="11"/>
        <v>2000</v>
      </c>
      <c r="I86" s="62"/>
    </row>
    <row r="87" spans="1:9" x14ac:dyDescent="0.25">
      <c r="A87" s="42"/>
      <c r="B87" s="42"/>
      <c r="C87" s="43"/>
      <c r="D87" s="44"/>
      <c r="E87" s="44"/>
      <c r="F87" s="44"/>
      <c r="G87" s="44"/>
      <c r="H87" s="44"/>
      <c r="I87" s="62"/>
    </row>
    <row r="88" spans="1:9" x14ac:dyDescent="0.25">
      <c r="A88" s="42"/>
      <c r="B88" s="42"/>
      <c r="C88" s="43"/>
      <c r="D88" s="44"/>
      <c r="E88" s="44"/>
      <c r="F88" s="44"/>
      <c r="G88" s="44"/>
      <c r="H88" s="44"/>
      <c r="I88" s="62"/>
    </row>
    <row r="89" spans="1:9" x14ac:dyDescent="0.25">
      <c r="A89" s="42"/>
      <c r="B89" s="42"/>
      <c r="C89" s="43"/>
      <c r="D89" s="44"/>
      <c r="E89" s="44"/>
      <c r="F89" s="44"/>
      <c r="G89" s="44"/>
      <c r="H89" s="44"/>
      <c r="I89" s="62"/>
    </row>
    <row r="90" spans="1:9" ht="15.75" thickBot="1" x14ac:dyDescent="0.3">
      <c r="A90" s="42"/>
      <c r="B90" s="42"/>
      <c r="C90" s="43"/>
      <c r="D90" s="44"/>
      <c r="E90" s="44"/>
      <c r="F90" s="44"/>
      <c r="G90" s="44"/>
      <c r="H90" s="44"/>
      <c r="I90" s="62"/>
    </row>
    <row r="91" spans="1:9" ht="15.75" thickBot="1" x14ac:dyDescent="0.3">
      <c r="A91" s="7" t="s">
        <v>5</v>
      </c>
      <c r="B91" s="8" t="s">
        <v>6</v>
      </c>
      <c r="C91" s="46" t="s">
        <v>7</v>
      </c>
      <c r="D91" s="10" t="s">
        <v>8</v>
      </c>
      <c r="E91" s="47" t="s">
        <v>46</v>
      </c>
      <c r="F91" s="48" t="s">
        <v>10</v>
      </c>
      <c r="G91" s="49" t="s">
        <v>11</v>
      </c>
      <c r="H91" s="50" t="s">
        <v>12</v>
      </c>
      <c r="I91" s="62"/>
    </row>
    <row r="92" spans="1:9" x14ac:dyDescent="0.25">
      <c r="A92" s="74">
        <v>61101</v>
      </c>
      <c r="B92" s="75" t="s">
        <v>74</v>
      </c>
      <c r="C92" s="76">
        <v>5000</v>
      </c>
      <c r="D92" s="76">
        <v>19524</v>
      </c>
      <c r="E92" s="53">
        <f t="shared" ref="E92:E96" si="12">+C92+D92</f>
        <v>24524</v>
      </c>
      <c r="F92" s="53">
        <v>2655</v>
      </c>
      <c r="G92" s="76">
        <v>0</v>
      </c>
      <c r="H92" s="54">
        <f t="shared" si="9"/>
        <v>21869</v>
      </c>
      <c r="I92" s="77"/>
    </row>
    <row r="93" spans="1:9" x14ac:dyDescent="0.25">
      <c r="A93" s="56">
        <v>61102</v>
      </c>
      <c r="B93" s="78" t="s">
        <v>75</v>
      </c>
      <c r="C93" s="23">
        <v>15000</v>
      </c>
      <c r="D93" s="23">
        <v>15008.54</v>
      </c>
      <c r="E93" s="18">
        <f t="shared" si="12"/>
        <v>30008.54</v>
      </c>
      <c r="F93" s="18">
        <v>6460.54</v>
      </c>
      <c r="G93" s="23">
        <v>0</v>
      </c>
      <c r="H93" s="55">
        <f t="shared" si="9"/>
        <v>23548</v>
      </c>
      <c r="I93" s="77"/>
    </row>
    <row r="94" spans="1:9" x14ac:dyDescent="0.25">
      <c r="A94" s="56">
        <v>61103</v>
      </c>
      <c r="B94" s="78" t="s">
        <v>76</v>
      </c>
      <c r="C94" s="23">
        <v>500</v>
      </c>
      <c r="D94" s="23">
        <v>-500</v>
      </c>
      <c r="E94" s="18">
        <f t="shared" si="12"/>
        <v>0</v>
      </c>
      <c r="F94" s="18">
        <v>0</v>
      </c>
      <c r="G94" s="23">
        <v>0</v>
      </c>
      <c r="H94" s="55">
        <f t="shared" si="9"/>
        <v>0</v>
      </c>
      <c r="I94" s="77"/>
    </row>
    <row r="95" spans="1:9" x14ac:dyDescent="0.25">
      <c r="A95" s="56">
        <v>61104</v>
      </c>
      <c r="B95" s="78" t="s">
        <v>77</v>
      </c>
      <c r="C95" s="23">
        <v>15055</v>
      </c>
      <c r="D95" s="23">
        <v>24033.27</v>
      </c>
      <c r="E95" s="18">
        <f t="shared" si="12"/>
        <v>39088.270000000004</v>
      </c>
      <c r="F95" s="18">
        <v>1044.1199999999999</v>
      </c>
      <c r="G95" s="23">
        <v>0</v>
      </c>
      <c r="H95" s="55">
        <f t="shared" si="9"/>
        <v>38044.15</v>
      </c>
      <c r="I95" s="77"/>
    </row>
    <row r="96" spans="1:9" x14ac:dyDescent="0.25">
      <c r="A96" s="20">
        <v>61108</v>
      </c>
      <c r="B96" s="21" t="s">
        <v>42</v>
      </c>
      <c r="C96" s="22">
        <v>1000</v>
      </c>
      <c r="D96" s="22">
        <v>1696.9</v>
      </c>
      <c r="E96" s="18">
        <f t="shared" si="12"/>
        <v>2696.9</v>
      </c>
      <c r="F96" s="18">
        <v>2667.76</v>
      </c>
      <c r="G96" s="22">
        <v>0</v>
      </c>
      <c r="H96" s="55">
        <f t="shared" si="9"/>
        <v>29.139999999999873</v>
      </c>
      <c r="I96" s="62"/>
    </row>
    <row r="97" spans="1:9" x14ac:dyDescent="0.25">
      <c r="A97" s="56"/>
      <c r="B97" s="26" t="s">
        <v>45</v>
      </c>
      <c r="C97" s="28">
        <f>SUM(C92:C96)</f>
        <v>36555</v>
      </c>
      <c r="D97" s="28">
        <f>SUM(D92:D96)</f>
        <v>59762.71</v>
      </c>
      <c r="E97" s="28">
        <f>SUM(E92:E96)</f>
        <v>96317.709999999992</v>
      </c>
      <c r="F97" s="28">
        <f>SUM(F92:F96)</f>
        <v>12827.42</v>
      </c>
      <c r="G97" s="28">
        <f>SUM(G96)</f>
        <v>0</v>
      </c>
      <c r="H97" s="57">
        <f t="shared" si="9"/>
        <v>83490.289999999994</v>
      </c>
      <c r="I97" s="62"/>
    </row>
    <row r="98" spans="1:9" x14ac:dyDescent="0.25">
      <c r="A98" s="20">
        <v>61403</v>
      </c>
      <c r="B98" s="21" t="s">
        <v>78</v>
      </c>
      <c r="C98" s="22">
        <v>0</v>
      </c>
      <c r="D98" s="22">
        <v>1047.51</v>
      </c>
      <c r="E98" s="18">
        <f>+C98+D98</f>
        <v>1047.51</v>
      </c>
      <c r="F98" s="22">
        <v>1047.51</v>
      </c>
      <c r="G98" s="22">
        <v>0</v>
      </c>
      <c r="H98" s="55">
        <f t="shared" si="9"/>
        <v>0</v>
      </c>
      <c r="I98" s="62"/>
    </row>
    <row r="99" spans="1:9" ht="15.75" thickBot="1" x14ac:dyDescent="0.3">
      <c r="A99" s="79"/>
      <c r="B99" s="80" t="s">
        <v>45</v>
      </c>
      <c r="C99" s="81">
        <f>+C98</f>
        <v>0</v>
      </c>
      <c r="D99" s="81">
        <f>+D98</f>
        <v>1047.51</v>
      </c>
      <c r="E99" s="82">
        <f>+E98</f>
        <v>1047.51</v>
      </c>
      <c r="F99" s="82">
        <f>+F98</f>
        <v>1047.51</v>
      </c>
      <c r="G99" s="82">
        <f>SUM(G98)</f>
        <v>0</v>
      </c>
      <c r="H99" s="83">
        <f t="shared" si="9"/>
        <v>0</v>
      </c>
      <c r="I99" s="62"/>
    </row>
    <row r="100" spans="1:9" ht="15.75" thickBot="1" x14ac:dyDescent="0.3">
      <c r="A100" s="84"/>
      <c r="B100" s="85" t="s">
        <v>26</v>
      </c>
      <c r="C100" s="86">
        <f>+C97+C99</f>
        <v>36555</v>
      </c>
      <c r="D100" s="86">
        <f>+D99+D97</f>
        <v>60810.22</v>
      </c>
      <c r="E100" s="87">
        <f>+E99+E97</f>
        <v>97365.219999999987</v>
      </c>
      <c r="F100" s="88">
        <f>+F99+F97</f>
        <v>13874.93</v>
      </c>
      <c r="G100" s="89">
        <v>0</v>
      </c>
      <c r="H100" s="90">
        <f>+H99+H97</f>
        <v>83490.289999999994</v>
      </c>
      <c r="I100" s="62"/>
    </row>
    <row r="101" spans="1:9" ht="15.75" thickBot="1" x14ac:dyDescent="0.3">
      <c r="A101" s="101"/>
      <c r="B101" s="38" t="s">
        <v>79</v>
      </c>
      <c r="C101" s="102">
        <f>+C100+C86+C80+C73+C24</f>
        <v>9475399</v>
      </c>
      <c r="D101" s="39">
        <f>+D100+D86+D80+D73+D24</f>
        <v>300000</v>
      </c>
      <c r="E101" s="103">
        <f>+E24+E73+E80+E100+E86</f>
        <v>9775399</v>
      </c>
      <c r="F101" s="104">
        <f>+F24+F73+F80+F100+F86</f>
        <v>8264162.1699999999</v>
      </c>
      <c r="G101" s="105">
        <f>+G24+G73+G80+G100+G86</f>
        <v>452516.64999999997</v>
      </c>
      <c r="H101" s="106">
        <f>+E101-F101-G101</f>
        <v>1058720.1800000002</v>
      </c>
      <c r="I101" s="107"/>
    </row>
    <row r="102" spans="1:9" x14ac:dyDescent="0.25">
      <c r="C102" s="99"/>
      <c r="D102" s="100"/>
      <c r="E102" s="100"/>
      <c r="F102" s="100"/>
      <c r="G102" s="100"/>
      <c r="H102" s="61"/>
      <c r="I102" s="107"/>
    </row>
  </sheetData>
  <mergeCells count="5">
    <mergeCell ref="B2:I2"/>
    <mergeCell ref="B3:F3"/>
    <mergeCell ref="B4:F4"/>
    <mergeCell ref="A6:H6"/>
    <mergeCell ref="B7:H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3"/>
  <sheetViews>
    <sheetView tabSelected="1" workbookViewId="0">
      <selection activeCell="L14" sqref="L14"/>
    </sheetView>
  </sheetViews>
  <sheetFormatPr baseColWidth="10" defaultRowHeight="15" x14ac:dyDescent="0.25"/>
  <cols>
    <col min="2" max="2" width="33.28515625" customWidth="1"/>
    <col min="3" max="3" width="15.85546875" customWidth="1"/>
    <col min="4" max="4" width="15.5703125" customWidth="1"/>
    <col min="5" max="5" width="14" customWidth="1"/>
    <col min="6" max="6" width="14.7109375" customWidth="1"/>
    <col min="7" max="7" width="13.5703125" customWidth="1"/>
    <col min="8" max="8" width="13.85546875" customWidth="1"/>
  </cols>
  <sheetData>
    <row r="1" spans="1:9" x14ac:dyDescent="0.25">
      <c r="C1" s="1"/>
    </row>
    <row r="2" spans="1:9" ht="15.75" x14ac:dyDescent="0.25">
      <c r="A2" s="2"/>
      <c r="B2" s="110" t="s">
        <v>0</v>
      </c>
      <c r="C2" s="110"/>
      <c r="D2" s="110"/>
      <c r="E2" s="110"/>
      <c r="F2" s="110"/>
      <c r="G2" s="110"/>
      <c r="H2" s="110"/>
      <c r="I2" s="110"/>
    </row>
    <row r="3" spans="1:9" x14ac:dyDescent="0.25">
      <c r="A3" s="2"/>
      <c r="B3" s="111" t="s">
        <v>1</v>
      </c>
      <c r="C3" s="111"/>
      <c r="D3" s="111"/>
      <c r="E3" s="111"/>
      <c r="F3" s="111"/>
      <c r="G3" s="3"/>
      <c r="H3" s="2"/>
      <c r="I3" s="2"/>
    </row>
    <row r="4" spans="1:9" x14ac:dyDescent="0.25">
      <c r="A4" s="4"/>
      <c r="B4" s="111" t="s">
        <v>2</v>
      </c>
      <c r="C4" s="111"/>
      <c r="D4" s="111"/>
      <c r="E4" s="111"/>
      <c r="F4" s="111"/>
      <c r="G4" s="3"/>
      <c r="H4" s="4"/>
      <c r="I4" s="2"/>
    </row>
    <row r="5" spans="1:9" x14ac:dyDescent="0.25">
      <c r="A5" s="4"/>
      <c r="B5" s="3"/>
      <c r="C5" s="5"/>
      <c r="D5" s="3"/>
      <c r="E5" s="3"/>
      <c r="F5" s="3"/>
      <c r="G5" s="3"/>
      <c r="H5" s="4"/>
      <c r="I5" s="2"/>
    </row>
    <row r="6" spans="1:9" x14ac:dyDescent="0.25">
      <c r="A6" s="112" t="s">
        <v>3</v>
      </c>
      <c r="B6" s="112"/>
      <c r="C6" s="112"/>
      <c r="D6" s="112"/>
      <c r="E6" s="112"/>
      <c r="F6" s="112"/>
      <c r="G6" s="112"/>
      <c r="H6" s="112"/>
      <c r="I6" s="2"/>
    </row>
    <row r="7" spans="1:9" ht="15.75" thickBot="1" x14ac:dyDescent="0.3">
      <c r="A7" s="6"/>
      <c r="B7" s="112" t="s">
        <v>84</v>
      </c>
      <c r="C7" s="112"/>
      <c r="D7" s="112"/>
      <c r="E7" s="112"/>
      <c r="F7" s="112"/>
      <c r="G7" s="112"/>
      <c r="H7" s="112"/>
      <c r="I7" s="2"/>
    </row>
    <row r="8" spans="1:9" ht="15.75" thickBot="1" x14ac:dyDescent="0.3">
      <c r="A8" s="7" t="s">
        <v>5</v>
      </c>
      <c r="B8" s="8" t="s">
        <v>6</v>
      </c>
      <c r="C8" s="9" t="s">
        <v>7</v>
      </c>
      <c r="D8" s="10" t="s">
        <v>8</v>
      </c>
      <c r="E8" s="11" t="s">
        <v>9</v>
      </c>
      <c r="F8" s="12" t="s">
        <v>10</v>
      </c>
      <c r="G8" s="13" t="s">
        <v>11</v>
      </c>
      <c r="H8" s="14" t="s">
        <v>12</v>
      </c>
      <c r="I8" s="15"/>
    </row>
    <row r="9" spans="1:9" x14ac:dyDescent="0.25">
      <c r="A9" s="16">
        <v>51101</v>
      </c>
      <c r="B9" s="17" t="s">
        <v>13</v>
      </c>
      <c r="C9" s="18">
        <v>4981600</v>
      </c>
      <c r="D9" s="18">
        <v>-200641.7</v>
      </c>
      <c r="E9" s="18">
        <f>+C9+D9</f>
        <v>4780958.3</v>
      </c>
      <c r="F9" s="18">
        <v>4763079.4000000004</v>
      </c>
      <c r="G9" s="18">
        <v>17878.900000000001</v>
      </c>
      <c r="H9" s="19">
        <f t="shared" ref="H9:H75" si="0">+E9-F9-G9</f>
        <v>-5.6024873629212379E-10</v>
      </c>
    </row>
    <row r="10" spans="1:9" x14ac:dyDescent="0.25">
      <c r="A10" s="20">
        <v>51103</v>
      </c>
      <c r="B10" s="21" t="s">
        <v>14</v>
      </c>
      <c r="C10" s="22">
        <v>181800</v>
      </c>
      <c r="D10" s="18"/>
      <c r="E10" s="18">
        <f t="shared" ref="E10:E23" si="1">+C10+D10</f>
        <v>181800</v>
      </c>
      <c r="F10" s="18">
        <v>172839.12</v>
      </c>
      <c r="G10" s="18">
        <v>8960.8799999999992</v>
      </c>
      <c r="H10" s="19">
        <f t="shared" si="0"/>
        <v>0</v>
      </c>
    </row>
    <row r="11" spans="1:9" x14ac:dyDescent="0.25">
      <c r="A11" s="20">
        <v>51107</v>
      </c>
      <c r="B11" s="21" t="s">
        <v>15</v>
      </c>
      <c r="C11" s="22">
        <v>0</v>
      </c>
      <c r="D11" s="22">
        <v>495883.36</v>
      </c>
      <c r="E11" s="18">
        <f t="shared" si="1"/>
        <v>495883.36</v>
      </c>
      <c r="F11" s="18">
        <v>495883.36</v>
      </c>
      <c r="G11" s="18">
        <f>1119.88-1119.88</f>
        <v>0</v>
      </c>
      <c r="H11" s="19">
        <f t="shared" si="0"/>
        <v>0</v>
      </c>
    </row>
    <row r="12" spans="1:9" x14ac:dyDescent="0.25">
      <c r="A12" s="20">
        <v>51201</v>
      </c>
      <c r="B12" s="21" t="s">
        <v>16</v>
      </c>
      <c r="C12" s="22">
        <v>1068700</v>
      </c>
      <c r="D12" s="23">
        <v>-111312.59</v>
      </c>
      <c r="E12" s="18">
        <f t="shared" si="1"/>
        <v>957387.41</v>
      </c>
      <c r="F12" s="18">
        <v>947594.62</v>
      </c>
      <c r="G12" s="18">
        <v>9792.7900000000009</v>
      </c>
      <c r="H12" s="19">
        <f t="shared" si="0"/>
        <v>3.637978807091713E-11</v>
      </c>
    </row>
    <row r="13" spans="1:9" x14ac:dyDescent="0.25">
      <c r="A13" s="20">
        <v>51203</v>
      </c>
      <c r="B13" s="21" t="s">
        <v>14</v>
      </c>
      <c r="C13" s="22">
        <v>30600</v>
      </c>
      <c r="D13" s="22"/>
      <c r="E13" s="18">
        <f t="shared" si="1"/>
        <v>30600</v>
      </c>
      <c r="F13" s="18">
        <v>27538.04</v>
      </c>
      <c r="G13" s="18">
        <v>3061.96</v>
      </c>
      <c r="H13" s="19">
        <f t="shared" si="0"/>
        <v>0</v>
      </c>
    </row>
    <row r="14" spans="1:9" x14ac:dyDescent="0.25">
      <c r="A14" s="20">
        <v>51207</v>
      </c>
      <c r="B14" s="21" t="s">
        <v>15</v>
      </c>
      <c r="C14" s="22">
        <v>0</v>
      </c>
      <c r="D14" s="22">
        <v>77766.67</v>
      </c>
      <c r="E14" s="18">
        <f t="shared" si="1"/>
        <v>77766.67</v>
      </c>
      <c r="F14" s="18">
        <v>77766.67</v>
      </c>
      <c r="G14" s="18"/>
      <c r="H14" s="19">
        <f t="shared" si="0"/>
        <v>0</v>
      </c>
    </row>
    <row r="15" spans="1:9" x14ac:dyDescent="0.25">
      <c r="A15" s="20">
        <v>51401</v>
      </c>
      <c r="B15" s="21" t="s">
        <v>17</v>
      </c>
      <c r="C15" s="22">
        <v>331890</v>
      </c>
      <c r="D15" s="22">
        <v>-37987.18</v>
      </c>
      <c r="E15" s="18">
        <f t="shared" si="1"/>
        <v>293902.82</v>
      </c>
      <c r="F15" s="18">
        <v>290314.02</v>
      </c>
      <c r="G15" s="18">
        <v>3588.8</v>
      </c>
      <c r="H15" s="19">
        <f t="shared" si="0"/>
        <v>-1.1823431123048067E-11</v>
      </c>
    </row>
    <row r="16" spans="1:9" x14ac:dyDescent="0.25">
      <c r="A16" s="20">
        <v>51402</v>
      </c>
      <c r="B16" s="21" t="s">
        <v>18</v>
      </c>
      <c r="C16" s="22">
        <v>57985</v>
      </c>
      <c r="D16" s="22">
        <v>-7489.36</v>
      </c>
      <c r="E16" s="18">
        <f t="shared" si="1"/>
        <v>50495.64</v>
      </c>
      <c r="F16" s="18">
        <v>49834.1</v>
      </c>
      <c r="G16" s="18">
        <v>661.54</v>
      </c>
      <c r="H16" s="19">
        <f t="shared" si="0"/>
        <v>9.0949470177292824E-13</v>
      </c>
    </row>
    <row r="17" spans="1:8" x14ac:dyDescent="0.25">
      <c r="A17" s="20">
        <v>51501</v>
      </c>
      <c r="B17" s="21" t="s">
        <v>19</v>
      </c>
      <c r="C17" s="22">
        <v>320785</v>
      </c>
      <c r="D17" s="22">
        <v>5391.16</v>
      </c>
      <c r="E17" s="18">
        <f t="shared" si="1"/>
        <v>326176.15999999997</v>
      </c>
      <c r="F17" s="18">
        <v>322087.03999999998</v>
      </c>
      <c r="G17" s="18">
        <v>4089.12</v>
      </c>
      <c r="H17" s="19">
        <f t="shared" si="0"/>
        <v>-4.5474735088646412E-12</v>
      </c>
    </row>
    <row r="18" spans="1:8" x14ac:dyDescent="0.25">
      <c r="A18" s="20">
        <v>51502</v>
      </c>
      <c r="B18" s="21" t="s">
        <v>20</v>
      </c>
      <c r="C18" s="22">
        <v>72140</v>
      </c>
      <c r="D18" s="22">
        <v>-1301.98</v>
      </c>
      <c r="E18" s="18">
        <f t="shared" si="1"/>
        <v>70838.02</v>
      </c>
      <c r="F18" s="18">
        <v>69488.91</v>
      </c>
      <c r="G18" s="18">
        <v>1349.11</v>
      </c>
      <c r="H18" s="19">
        <f t="shared" si="0"/>
        <v>0</v>
      </c>
    </row>
    <row r="19" spans="1:8" x14ac:dyDescent="0.25">
      <c r="A19" s="20">
        <v>51601</v>
      </c>
      <c r="B19" s="21" t="s">
        <v>21</v>
      </c>
      <c r="C19" s="22">
        <v>46625</v>
      </c>
      <c r="D19" s="22">
        <v>-1106.51</v>
      </c>
      <c r="E19" s="18">
        <f t="shared" si="1"/>
        <v>45518.49</v>
      </c>
      <c r="F19" s="18">
        <v>45050.71</v>
      </c>
      <c r="G19" s="18">
        <v>467.78</v>
      </c>
      <c r="H19" s="19">
        <f t="shared" si="0"/>
        <v>-1.1368683772161603E-12</v>
      </c>
    </row>
    <row r="20" spans="1:8" x14ac:dyDescent="0.25">
      <c r="A20" s="20">
        <v>51701</v>
      </c>
      <c r="B20" s="21" t="s">
        <v>22</v>
      </c>
      <c r="C20" s="22">
        <v>54989</v>
      </c>
      <c r="D20" s="22">
        <v>-7856.03</v>
      </c>
      <c r="E20" s="18">
        <f t="shared" si="1"/>
        <v>47132.97</v>
      </c>
      <c r="F20" s="18">
        <v>47132.97</v>
      </c>
      <c r="G20" s="18">
        <f>1400.69-1400.69</f>
        <v>0</v>
      </c>
      <c r="H20" s="19">
        <f t="shared" si="0"/>
        <v>0</v>
      </c>
    </row>
    <row r="21" spans="1:8" x14ac:dyDescent="0.25">
      <c r="A21" s="20">
        <v>51702</v>
      </c>
      <c r="B21" s="21" t="s">
        <v>23</v>
      </c>
      <c r="C21" s="22"/>
      <c r="D21" s="22">
        <v>6335.19</v>
      </c>
      <c r="E21" s="18">
        <f t="shared" si="1"/>
        <v>6335.19</v>
      </c>
      <c r="F21" s="18">
        <v>6335.19</v>
      </c>
      <c r="G21" s="18">
        <f>120.15-120.15</f>
        <v>0</v>
      </c>
      <c r="H21" s="19">
        <f t="shared" si="0"/>
        <v>0</v>
      </c>
    </row>
    <row r="22" spans="1:8" x14ac:dyDescent="0.25">
      <c r="A22" s="20">
        <v>51903</v>
      </c>
      <c r="B22" s="21" t="s">
        <v>24</v>
      </c>
      <c r="C22" s="22">
        <v>71895</v>
      </c>
      <c r="D22" s="22">
        <v>-11250.05</v>
      </c>
      <c r="E22" s="18">
        <f t="shared" si="1"/>
        <v>60644.95</v>
      </c>
      <c r="F22" s="18">
        <v>60378.38</v>
      </c>
      <c r="G22" s="18">
        <v>266.57</v>
      </c>
      <c r="H22" s="19">
        <f t="shared" si="0"/>
        <v>0</v>
      </c>
    </row>
    <row r="23" spans="1:8" x14ac:dyDescent="0.25">
      <c r="A23" s="20">
        <v>51999</v>
      </c>
      <c r="B23" s="21" t="s">
        <v>25</v>
      </c>
      <c r="C23" s="22">
        <v>17000</v>
      </c>
      <c r="D23" s="22">
        <v>-17000</v>
      </c>
      <c r="E23" s="18">
        <f t="shared" si="1"/>
        <v>0</v>
      </c>
      <c r="F23" s="18"/>
      <c r="G23" s="24"/>
      <c r="H23" s="19">
        <f t="shared" si="0"/>
        <v>0</v>
      </c>
    </row>
    <row r="24" spans="1:8" x14ac:dyDescent="0.25">
      <c r="A24" s="25"/>
      <c r="B24" s="26" t="s">
        <v>26</v>
      </c>
      <c r="C24" s="27">
        <f t="shared" ref="C24:F24" si="2">SUM(C9:C23)</f>
        <v>7236009</v>
      </c>
      <c r="D24" s="28">
        <f t="shared" si="2"/>
        <v>189430.98</v>
      </c>
      <c r="E24" s="29">
        <f t="shared" si="2"/>
        <v>7425439.9800000004</v>
      </c>
      <c r="F24" s="30">
        <f t="shared" si="2"/>
        <v>7375322.5300000003</v>
      </c>
      <c r="G24" s="31">
        <f>SUM(G9:G23)</f>
        <v>50117.450000000004</v>
      </c>
      <c r="H24" s="108">
        <f t="shared" si="0"/>
        <v>1.8189894035458565E-10</v>
      </c>
    </row>
    <row r="25" spans="1:8" x14ac:dyDescent="0.25">
      <c r="A25" s="20">
        <v>54101</v>
      </c>
      <c r="B25" s="21" t="s">
        <v>27</v>
      </c>
      <c r="C25" s="22">
        <v>52905</v>
      </c>
      <c r="D25" s="22">
        <v>33710.31</v>
      </c>
      <c r="E25" s="18">
        <f t="shared" ref="E25:E42" si="3">+C25+D25</f>
        <v>86615.31</v>
      </c>
      <c r="F25" s="18">
        <v>85872.31</v>
      </c>
      <c r="G25" s="18">
        <v>743</v>
      </c>
      <c r="H25" s="19">
        <f t="shared" si="0"/>
        <v>0</v>
      </c>
    </row>
    <row r="26" spans="1:8" x14ac:dyDescent="0.25">
      <c r="A26" s="20">
        <v>54103</v>
      </c>
      <c r="B26" s="21" t="s">
        <v>28</v>
      </c>
      <c r="C26" s="22">
        <v>1000</v>
      </c>
      <c r="D26" s="22">
        <v>-373.97</v>
      </c>
      <c r="E26" s="18">
        <f t="shared" si="3"/>
        <v>626.03</v>
      </c>
      <c r="F26" s="18">
        <v>626.03</v>
      </c>
      <c r="G26" s="18">
        <v>0</v>
      </c>
      <c r="H26" s="19">
        <f t="shared" si="0"/>
        <v>0</v>
      </c>
    </row>
    <row r="27" spans="1:8" x14ac:dyDescent="0.25">
      <c r="A27" s="20">
        <v>54104</v>
      </c>
      <c r="B27" s="21" t="s">
        <v>29</v>
      </c>
      <c r="C27" s="22">
        <v>53150</v>
      </c>
      <c r="D27" s="22">
        <v>-7163.72</v>
      </c>
      <c r="E27" s="18">
        <f t="shared" si="3"/>
        <v>45986.28</v>
      </c>
      <c r="F27" s="18">
        <v>45986.28</v>
      </c>
      <c r="G27" s="18">
        <v>0</v>
      </c>
      <c r="H27" s="19">
        <f t="shared" si="0"/>
        <v>0</v>
      </c>
    </row>
    <row r="28" spans="1:8" x14ac:dyDescent="0.25">
      <c r="A28" s="20">
        <v>54105</v>
      </c>
      <c r="B28" s="21" t="s">
        <v>30</v>
      </c>
      <c r="C28" s="22">
        <v>17135</v>
      </c>
      <c r="D28" s="22">
        <v>8810.8799999999992</v>
      </c>
      <c r="E28" s="18">
        <f t="shared" si="3"/>
        <v>25945.879999999997</v>
      </c>
      <c r="F28" s="18">
        <v>25945.88</v>
      </c>
      <c r="G28" s="18">
        <v>0</v>
      </c>
      <c r="H28" s="19">
        <f t="shared" si="0"/>
        <v>-3.637978807091713E-12</v>
      </c>
    </row>
    <row r="29" spans="1:8" x14ac:dyDescent="0.25">
      <c r="A29" s="20">
        <v>54106</v>
      </c>
      <c r="B29" s="21" t="s">
        <v>31</v>
      </c>
      <c r="C29" s="22">
        <v>150</v>
      </c>
      <c r="D29" s="22">
        <v>388.31</v>
      </c>
      <c r="E29" s="18">
        <f t="shared" si="3"/>
        <v>538.30999999999995</v>
      </c>
      <c r="F29" s="18">
        <v>538.30999999999995</v>
      </c>
      <c r="G29" s="18">
        <v>0</v>
      </c>
      <c r="H29" s="19">
        <f t="shared" si="0"/>
        <v>0</v>
      </c>
    </row>
    <row r="30" spans="1:8" x14ac:dyDescent="0.25">
      <c r="A30" s="20">
        <v>54107</v>
      </c>
      <c r="B30" s="21" t="s">
        <v>32</v>
      </c>
      <c r="C30" s="22">
        <v>10800</v>
      </c>
      <c r="D30" s="22">
        <v>3945.59</v>
      </c>
      <c r="E30" s="18">
        <f t="shared" si="3"/>
        <v>14745.59</v>
      </c>
      <c r="F30" s="18">
        <v>13945.59</v>
      </c>
      <c r="G30" s="18">
        <v>800</v>
      </c>
      <c r="H30" s="19">
        <f t="shared" si="0"/>
        <v>0</v>
      </c>
    </row>
    <row r="31" spans="1:8" x14ac:dyDescent="0.25">
      <c r="A31" s="20">
        <v>54108</v>
      </c>
      <c r="B31" s="21" t="s">
        <v>33</v>
      </c>
      <c r="C31" s="22">
        <v>15000</v>
      </c>
      <c r="D31" s="22">
        <v>296.95</v>
      </c>
      <c r="E31" s="18">
        <f t="shared" si="3"/>
        <v>15296.95</v>
      </c>
      <c r="F31" s="18">
        <v>15296.95</v>
      </c>
      <c r="G31" s="18">
        <v>0</v>
      </c>
      <c r="H31" s="19">
        <f t="shared" si="0"/>
        <v>0</v>
      </c>
    </row>
    <row r="32" spans="1:8" x14ac:dyDescent="0.25">
      <c r="A32" s="20">
        <v>54109</v>
      </c>
      <c r="B32" s="21" t="s">
        <v>34</v>
      </c>
      <c r="C32" s="22">
        <v>4000</v>
      </c>
      <c r="D32" s="22">
        <v>772.44</v>
      </c>
      <c r="E32" s="18">
        <f t="shared" si="3"/>
        <v>4772.4400000000005</v>
      </c>
      <c r="F32" s="18">
        <v>4772.4399999999996</v>
      </c>
      <c r="G32" s="18">
        <v>0</v>
      </c>
      <c r="H32" s="19">
        <f t="shared" si="0"/>
        <v>9.0949470177292824E-13</v>
      </c>
    </row>
    <row r="33" spans="1:8" x14ac:dyDescent="0.25">
      <c r="A33" s="20">
        <v>54110</v>
      </c>
      <c r="B33" s="21" t="s">
        <v>35</v>
      </c>
      <c r="C33" s="22">
        <v>20025</v>
      </c>
      <c r="D33" s="22">
        <v>18.170000000000002</v>
      </c>
      <c r="E33" s="18">
        <f t="shared" si="3"/>
        <v>20043.169999999998</v>
      </c>
      <c r="F33" s="18">
        <v>20043.169999999998</v>
      </c>
      <c r="G33" s="18"/>
      <c r="H33" s="19">
        <f t="shared" si="0"/>
        <v>0</v>
      </c>
    </row>
    <row r="34" spans="1:8" x14ac:dyDescent="0.25">
      <c r="A34" s="20">
        <v>54111</v>
      </c>
      <c r="B34" s="21" t="s">
        <v>36</v>
      </c>
      <c r="C34" s="22">
        <v>400</v>
      </c>
      <c r="D34" s="22">
        <v>293.08999999999997</v>
      </c>
      <c r="E34" s="18">
        <f t="shared" si="3"/>
        <v>693.08999999999992</v>
      </c>
      <c r="F34" s="18">
        <v>693.09</v>
      </c>
      <c r="G34" s="18">
        <v>0</v>
      </c>
      <c r="H34" s="19">
        <f t="shared" si="0"/>
        <v>-1.1368683772161603E-13</v>
      </c>
    </row>
    <row r="35" spans="1:8" x14ac:dyDescent="0.25">
      <c r="A35" s="20">
        <v>54112</v>
      </c>
      <c r="B35" s="21" t="s">
        <v>37</v>
      </c>
      <c r="C35" s="22">
        <v>1400</v>
      </c>
      <c r="D35" s="22">
        <v>3215.94</v>
      </c>
      <c r="E35" s="18">
        <f t="shared" si="3"/>
        <v>4615.9400000000005</v>
      </c>
      <c r="F35" s="18">
        <v>4615.9399999999996</v>
      </c>
      <c r="G35" s="18">
        <v>0</v>
      </c>
      <c r="H35" s="19">
        <f t="shared" si="0"/>
        <v>9.0949470177292824E-13</v>
      </c>
    </row>
    <row r="36" spans="1:8" x14ac:dyDescent="0.25">
      <c r="A36" s="20">
        <v>54113</v>
      </c>
      <c r="B36" s="21" t="s">
        <v>38</v>
      </c>
      <c r="C36" s="22">
        <v>900</v>
      </c>
      <c r="D36" s="22">
        <v>595.32000000000005</v>
      </c>
      <c r="E36" s="18">
        <f t="shared" si="3"/>
        <v>1495.3200000000002</v>
      </c>
      <c r="F36" s="18">
        <v>1495.32</v>
      </c>
      <c r="G36" s="18">
        <v>0</v>
      </c>
      <c r="H36" s="19">
        <f t="shared" si="0"/>
        <v>2.2737367544323206E-13</v>
      </c>
    </row>
    <row r="37" spans="1:8" x14ac:dyDescent="0.25">
      <c r="A37" s="20">
        <v>54114</v>
      </c>
      <c r="B37" s="21" t="s">
        <v>39</v>
      </c>
      <c r="C37" s="22">
        <v>5425</v>
      </c>
      <c r="D37" s="22">
        <v>644.32000000000005</v>
      </c>
      <c r="E37" s="18">
        <f t="shared" si="3"/>
        <v>6069.32</v>
      </c>
      <c r="F37" s="18">
        <v>6069.32</v>
      </c>
      <c r="G37" s="18"/>
      <c r="H37" s="19">
        <f t="shared" si="0"/>
        <v>0</v>
      </c>
    </row>
    <row r="38" spans="1:8" x14ac:dyDescent="0.25">
      <c r="A38" s="20">
        <v>54115</v>
      </c>
      <c r="B38" s="21" t="s">
        <v>40</v>
      </c>
      <c r="C38" s="22">
        <v>12000</v>
      </c>
      <c r="D38" s="22">
        <v>986.47</v>
      </c>
      <c r="E38" s="18">
        <f t="shared" si="3"/>
        <v>12986.47</v>
      </c>
      <c r="F38" s="18">
        <v>12986.47</v>
      </c>
      <c r="G38" s="18">
        <v>0</v>
      </c>
      <c r="H38" s="19">
        <f t="shared" si="0"/>
        <v>0</v>
      </c>
    </row>
    <row r="39" spans="1:8" x14ac:dyDescent="0.25">
      <c r="A39" s="20">
        <v>54116</v>
      </c>
      <c r="B39" s="21" t="s">
        <v>41</v>
      </c>
      <c r="C39" s="22">
        <v>600</v>
      </c>
      <c r="D39" s="22">
        <v>244.3</v>
      </c>
      <c r="E39" s="18">
        <f t="shared" si="3"/>
        <v>844.3</v>
      </c>
      <c r="F39" s="18">
        <v>709.3</v>
      </c>
      <c r="G39" s="18">
        <v>135</v>
      </c>
      <c r="H39" s="19">
        <f t="shared" si="0"/>
        <v>0</v>
      </c>
    </row>
    <row r="40" spans="1:8" x14ac:dyDescent="0.25">
      <c r="A40" s="20">
        <v>54118</v>
      </c>
      <c r="B40" s="21" t="s">
        <v>42</v>
      </c>
      <c r="C40" s="22">
        <v>1750</v>
      </c>
      <c r="D40" s="22">
        <v>1400.71</v>
      </c>
      <c r="E40" s="18">
        <f t="shared" si="3"/>
        <v>3150.71</v>
      </c>
      <c r="F40" s="18">
        <v>3143.21</v>
      </c>
      <c r="G40" s="18">
        <v>7.5</v>
      </c>
      <c r="H40" s="19">
        <f t="shared" si="0"/>
        <v>0</v>
      </c>
    </row>
    <row r="41" spans="1:8" x14ac:dyDescent="0.25">
      <c r="A41" s="20">
        <v>54119</v>
      </c>
      <c r="B41" s="21" t="s">
        <v>43</v>
      </c>
      <c r="C41" s="22">
        <v>2000</v>
      </c>
      <c r="D41" s="22">
        <v>7265.15</v>
      </c>
      <c r="E41" s="18">
        <f t="shared" si="3"/>
        <v>9265.15</v>
      </c>
      <c r="F41" s="18">
        <v>9265.15</v>
      </c>
      <c r="G41" s="18">
        <v>0</v>
      </c>
      <c r="H41" s="19">
        <f t="shared" si="0"/>
        <v>0</v>
      </c>
    </row>
    <row r="42" spans="1:8" ht="15.75" thickBot="1" x14ac:dyDescent="0.3">
      <c r="A42" s="33">
        <v>54199</v>
      </c>
      <c r="B42" s="34" t="s">
        <v>44</v>
      </c>
      <c r="C42" s="35">
        <v>479395</v>
      </c>
      <c r="D42" s="35">
        <v>-21311.759999999998</v>
      </c>
      <c r="E42" s="18">
        <f t="shared" si="3"/>
        <v>458083.24</v>
      </c>
      <c r="F42" s="18">
        <v>453975.99</v>
      </c>
      <c r="G42" s="18">
        <v>4107.25</v>
      </c>
      <c r="H42" s="36">
        <f t="shared" si="0"/>
        <v>0</v>
      </c>
    </row>
    <row r="43" spans="1:8" ht="15.75" thickBot="1" x14ac:dyDescent="0.3">
      <c r="A43" s="37"/>
      <c r="B43" s="38" t="s">
        <v>45</v>
      </c>
      <c r="C43" s="39">
        <f>SUM(C25:C42)</f>
        <v>678035</v>
      </c>
      <c r="D43" s="39">
        <f>SUM(D25:D42)</f>
        <v>33738.5</v>
      </c>
      <c r="E43" s="39">
        <f>SUM(E25:E42)</f>
        <v>711773.5</v>
      </c>
      <c r="F43" s="39">
        <f>SUM(F25:F42)</f>
        <v>705980.75</v>
      </c>
      <c r="G43" s="39">
        <f>SUM(G25:G42)</f>
        <v>5792.75</v>
      </c>
      <c r="H43" s="40">
        <f t="shared" si="0"/>
        <v>0</v>
      </c>
    </row>
    <row r="44" spans="1:8" x14ac:dyDescent="0.25">
      <c r="A44" s="41"/>
      <c r="B44" s="42"/>
      <c r="C44" s="43"/>
      <c r="D44" s="44"/>
      <c r="E44" s="44"/>
      <c r="F44" s="44"/>
      <c r="G44" s="44"/>
      <c r="H44" s="45"/>
    </row>
    <row r="45" spans="1:8" x14ac:dyDescent="0.25">
      <c r="A45" s="41"/>
      <c r="B45" s="42"/>
      <c r="C45" s="43"/>
      <c r="D45" s="44"/>
      <c r="E45" s="44"/>
      <c r="F45" s="44"/>
      <c r="G45" s="44"/>
      <c r="H45" s="45"/>
    </row>
    <row r="46" spans="1:8" ht="15.75" thickBot="1" x14ac:dyDescent="0.3">
      <c r="A46" s="41"/>
      <c r="B46" s="42"/>
      <c r="C46" s="43"/>
      <c r="D46" s="44"/>
      <c r="E46" s="44"/>
      <c r="F46" s="44"/>
      <c r="G46" s="44"/>
      <c r="H46" s="45"/>
    </row>
    <row r="47" spans="1:8" ht="15.75" thickBot="1" x14ac:dyDescent="0.3">
      <c r="A47" s="7" t="s">
        <v>5</v>
      </c>
      <c r="B47" s="8" t="s">
        <v>6</v>
      </c>
      <c r="C47" s="46" t="s">
        <v>7</v>
      </c>
      <c r="D47" s="10" t="s">
        <v>8</v>
      </c>
      <c r="E47" s="47" t="s">
        <v>46</v>
      </c>
      <c r="F47" s="48" t="s">
        <v>10</v>
      </c>
      <c r="G47" s="49" t="s">
        <v>11</v>
      </c>
      <c r="H47" s="50" t="s">
        <v>12</v>
      </c>
    </row>
    <row r="48" spans="1:8" x14ac:dyDescent="0.25">
      <c r="A48" s="51">
        <v>54201</v>
      </c>
      <c r="B48" s="52" t="s">
        <v>47</v>
      </c>
      <c r="C48" s="53">
        <v>191255</v>
      </c>
      <c r="D48" s="53">
        <v>-24624.49</v>
      </c>
      <c r="E48" s="18">
        <f t="shared" ref="E48:E51" si="4">+C48+D48</f>
        <v>166630.51</v>
      </c>
      <c r="F48" s="18">
        <v>156376.35999999999</v>
      </c>
      <c r="G48" s="18">
        <v>10254.15</v>
      </c>
      <c r="H48" s="54">
        <f t="shared" si="0"/>
        <v>2.3646862246096134E-11</v>
      </c>
    </row>
    <row r="49" spans="1:8" x14ac:dyDescent="0.25">
      <c r="A49" s="20">
        <v>54202</v>
      </c>
      <c r="B49" s="21" t="s">
        <v>48</v>
      </c>
      <c r="C49" s="22">
        <v>43800</v>
      </c>
      <c r="D49" s="22">
        <v>-15625.67</v>
      </c>
      <c r="E49" s="18">
        <f>+C49+D49</f>
        <v>28174.33</v>
      </c>
      <c r="F49" s="18">
        <v>20764.580000000002</v>
      </c>
      <c r="G49" s="18">
        <v>7409.75</v>
      </c>
      <c r="H49" s="19">
        <f t="shared" si="0"/>
        <v>0</v>
      </c>
    </row>
    <row r="50" spans="1:8" x14ac:dyDescent="0.25">
      <c r="A50" s="33">
        <v>54203</v>
      </c>
      <c r="B50" s="34" t="s">
        <v>49</v>
      </c>
      <c r="C50" s="35">
        <v>188800</v>
      </c>
      <c r="D50" s="35">
        <v>-64174.8</v>
      </c>
      <c r="E50" s="18">
        <f t="shared" si="4"/>
        <v>124625.2</v>
      </c>
      <c r="F50" s="18">
        <v>117974.32</v>
      </c>
      <c r="G50" s="18">
        <v>6650.88</v>
      </c>
      <c r="H50" s="36">
        <f t="shared" si="0"/>
        <v>-1.0004441719502211E-11</v>
      </c>
    </row>
    <row r="51" spans="1:8" x14ac:dyDescent="0.25">
      <c r="A51" s="20">
        <v>54204</v>
      </c>
      <c r="B51" s="21" t="s">
        <v>50</v>
      </c>
      <c r="C51" s="22">
        <v>1200</v>
      </c>
      <c r="D51" s="22">
        <v>-474.57</v>
      </c>
      <c r="E51" s="18">
        <f t="shared" si="4"/>
        <v>725.43000000000006</v>
      </c>
      <c r="F51" s="18">
        <v>98.53</v>
      </c>
      <c r="G51" s="18">
        <v>626.9</v>
      </c>
      <c r="H51" s="55">
        <f t="shared" si="0"/>
        <v>0</v>
      </c>
    </row>
    <row r="52" spans="1:8" x14ac:dyDescent="0.25">
      <c r="A52" s="56"/>
      <c r="B52" s="26" t="s">
        <v>45</v>
      </c>
      <c r="C52" s="28">
        <f>SUM(C48:C51)</f>
        <v>425055</v>
      </c>
      <c r="D52" s="28">
        <f>SUM(D48:D51)</f>
        <v>-104899.53000000001</v>
      </c>
      <c r="E52" s="28">
        <f>SUM(E48:E51)</f>
        <v>320155.47000000003</v>
      </c>
      <c r="F52" s="28">
        <f>SUM(F48:F51)</f>
        <v>295213.79000000004</v>
      </c>
      <c r="G52" s="28">
        <f>SUM(G48:G51)</f>
        <v>24941.680000000004</v>
      </c>
      <c r="H52" s="57">
        <f t="shared" si="0"/>
        <v>0</v>
      </c>
    </row>
    <row r="53" spans="1:8" x14ac:dyDescent="0.25">
      <c r="A53" s="20">
        <v>54301</v>
      </c>
      <c r="B53" s="21" t="s">
        <v>51</v>
      </c>
      <c r="C53" s="22">
        <v>35000</v>
      </c>
      <c r="D53" s="22">
        <v>-14155.78</v>
      </c>
      <c r="E53" s="18">
        <f t="shared" ref="E53:E64" si="5">+C53+D53</f>
        <v>20844.22</v>
      </c>
      <c r="F53" s="18">
        <v>19928.419999999998</v>
      </c>
      <c r="G53" s="18">
        <v>915.8</v>
      </c>
      <c r="H53" s="55">
        <f t="shared" si="0"/>
        <v>2.9558577807620168E-12</v>
      </c>
    </row>
    <row r="54" spans="1:8" x14ac:dyDescent="0.25">
      <c r="A54" s="16">
        <v>54302</v>
      </c>
      <c r="B54" s="17" t="s">
        <v>52</v>
      </c>
      <c r="C54" s="18">
        <v>63000</v>
      </c>
      <c r="D54" s="18">
        <v>-13034.88</v>
      </c>
      <c r="E54" s="18">
        <f t="shared" si="5"/>
        <v>49965.120000000003</v>
      </c>
      <c r="F54" s="18">
        <v>46840.5</v>
      </c>
      <c r="G54" s="18">
        <v>3124.62</v>
      </c>
      <c r="H54" s="19">
        <f t="shared" si="0"/>
        <v>0</v>
      </c>
    </row>
    <row r="55" spans="1:8" x14ac:dyDescent="0.25">
      <c r="A55" s="20">
        <v>54304</v>
      </c>
      <c r="B55" s="21" t="s">
        <v>53</v>
      </c>
      <c r="C55" s="22">
        <v>2000</v>
      </c>
      <c r="D55" s="22">
        <v>6573.05</v>
      </c>
      <c r="E55" s="18">
        <f t="shared" si="5"/>
        <v>8573.0499999999993</v>
      </c>
      <c r="F55" s="18">
        <v>8573.0499999999993</v>
      </c>
      <c r="G55" s="18">
        <v>0</v>
      </c>
      <c r="H55" s="55">
        <f t="shared" si="0"/>
        <v>0</v>
      </c>
    </row>
    <row r="56" spans="1:8" x14ac:dyDescent="0.25">
      <c r="A56" s="20">
        <v>54305</v>
      </c>
      <c r="B56" s="21" t="s">
        <v>54</v>
      </c>
      <c r="C56" s="22">
        <v>74200</v>
      </c>
      <c r="D56" s="22">
        <v>-71770.03</v>
      </c>
      <c r="E56" s="18">
        <f t="shared" si="5"/>
        <v>2429.9700000000012</v>
      </c>
      <c r="F56" s="18">
        <v>1236.8499999999999</v>
      </c>
      <c r="G56" s="18">
        <v>1193.1199999999999</v>
      </c>
      <c r="H56" s="55">
        <f t="shared" si="0"/>
        <v>0</v>
      </c>
    </row>
    <row r="57" spans="1:8" x14ac:dyDescent="0.25">
      <c r="A57" s="20">
        <v>54306</v>
      </c>
      <c r="B57" s="21" t="s">
        <v>83</v>
      </c>
      <c r="C57" s="22"/>
      <c r="D57" s="22">
        <v>360</v>
      </c>
      <c r="E57" s="18">
        <f t="shared" si="5"/>
        <v>360</v>
      </c>
      <c r="F57" s="18">
        <v>324</v>
      </c>
      <c r="G57" s="18">
        <v>36</v>
      </c>
      <c r="H57" s="55">
        <f t="shared" si="0"/>
        <v>0</v>
      </c>
    </row>
    <row r="58" spans="1:8" x14ac:dyDescent="0.25">
      <c r="A58" s="20">
        <v>54307</v>
      </c>
      <c r="B58" s="21" t="s">
        <v>55</v>
      </c>
      <c r="C58" s="22">
        <v>13000</v>
      </c>
      <c r="D58" s="22">
        <v>-6392.64</v>
      </c>
      <c r="E58" s="18">
        <f t="shared" si="5"/>
        <v>6607.36</v>
      </c>
      <c r="F58" s="18">
        <v>6437.36</v>
      </c>
      <c r="G58" s="18">
        <v>170</v>
      </c>
      <c r="H58" s="55">
        <f t="shared" si="0"/>
        <v>0</v>
      </c>
    </row>
    <row r="59" spans="1:8" x14ac:dyDescent="0.25">
      <c r="A59" s="20">
        <v>54308</v>
      </c>
      <c r="B59" s="21" t="s">
        <v>56</v>
      </c>
      <c r="C59" s="22">
        <v>0</v>
      </c>
      <c r="D59" s="22">
        <v>1286</v>
      </c>
      <c r="E59" s="18">
        <f t="shared" si="5"/>
        <v>1286</v>
      </c>
      <c r="F59" s="18">
        <v>1286</v>
      </c>
      <c r="G59" s="18">
        <v>0</v>
      </c>
      <c r="H59" s="55">
        <f t="shared" si="0"/>
        <v>0</v>
      </c>
    </row>
    <row r="60" spans="1:8" x14ac:dyDescent="0.25">
      <c r="A60" s="20">
        <v>54313</v>
      </c>
      <c r="B60" s="21" t="s">
        <v>57</v>
      </c>
      <c r="C60" s="22">
        <v>33900</v>
      </c>
      <c r="D60" s="22">
        <v>35316.97</v>
      </c>
      <c r="E60" s="18">
        <f t="shared" si="5"/>
        <v>69216.97</v>
      </c>
      <c r="F60" s="18">
        <v>50305.93</v>
      </c>
      <c r="G60" s="18">
        <v>18911.04</v>
      </c>
      <c r="H60" s="55">
        <f t="shared" si="0"/>
        <v>0</v>
      </c>
    </row>
    <row r="61" spans="1:8" x14ac:dyDescent="0.25">
      <c r="A61" s="20">
        <v>54314</v>
      </c>
      <c r="B61" s="21" t="s">
        <v>58</v>
      </c>
      <c r="C61" s="22">
        <v>47000</v>
      </c>
      <c r="D61" s="22">
        <v>-19917.89</v>
      </c>
      <c r="E61" s="18">
        <f t="shared" si="5"/>
        <v>27082.11</v>
      </c>
      <c r="F61" s="18">
        <v>26782.1</v>
      </c>
      <c r="G61" s="18">
        <v>300.01</v>
      </c>
      <c r="H61" s="55">
        <f t="shared" si="0"/>
        <v>2.0463630789890885E-12</v>
      </c>
    </row>
    <row r="62" spans="1:8" x14ac:dyDescent="0.25">
      <c r="A62" s="20">
        <v>54316</v>
      </c>
      <c r="B62" s="21" t="s">
        <v>59</v>
      </c>
      <c r="C62" s="22">
        <v>24000</v>
      </c>
      <c r="D62" s="22">
        <v>3756.06</v>
      </c>
      <c r="E62" s="18">
        <f t="shared" si="5"/>
        <v>27756.06</v>
      </c>
      <c r="F62" s="18">
        <v>27456.06</v>
      </c>
      <c r="G62" s="18">
        <v>300</v>
      </c>
      <c r="H62" s="55">
        <f t="shared" si="0"/>
        <v>0</v>
      </c>
    </row>
    <row r="63" spans="1:8" x14ac:dyDescent="0.25">
      <c r="A63" s="20">
        <v>54317</v>
      </c>
      <c r="B63" s="21" t="s">
        <v>60</v>
      </c>
      <c r="C63" s="22">
        <v>584880</v>
      </c>
      <c r="D63" s="22">
        <v>-2.94</v>
      </c>
      <c r="E63" s="18">
        <f t="shared" si="5"/>
        <v>584877.06000000006</v>
      </c>
      <c r="F63" s="18">
        <v>584872.92000000004</v>
      </c>
      <c r="G63" s="18">
        <v>4.1399999999999997</v>
      </c>
      <c r="H63" s="55">
        <f t="shared" si="0"/>
        <v>1.397015836346327E-11</v>
      </c>
    </row>
    <row r="64" spans="1:8" x14ac:dyDescent="0.25">
      <c r="A64" s="20">
        <v>54399</v>
      </c>
      <c r="B64" s="21" t="s">
        <v>61</v>
      </c>
      <c r="C64" s="22">
        <v>49280</v>
      </c>
      <c r="D64" s="22">
        <v>94254.22</v>
      </c>
      <c r="E64" s="18">
        <f t="shared" si="5"/>
        <v>143534.22</v>
      </c>
      <c r="F64" s="18">
        <v>71214.86</v>
      </c>
      <c r="G64" s="18">
        <v>72319.360000000001</v>
      </c>
      <c r="H64" s="55">
        <f t="shared" si="0"/>
        <v>0</v>
      </c>
    </row>
    <row r="65" spans="1:9" x14ac:dyDescent="0.25">
      <c r="A65" s="56"/>
      <c r="B65" s="26" t="s">
        <v>45</v>
      </c>
      <c r="C65" s="28">
        <f>SUM(C53:C64)</f>
        <v>926260</v>
      </c>
      <c r="D65" s="28">
        <f>SUM(D53:D64)</f>
        <v>16272.14</v>
      </c>
      <c r="E65" s="28">
        <f>SUM(E53:E64)</f>
        <v>942532.14</v>
      </c>
      <c r="F65" s="28">
        <f>SUM(F53:F64)</f>
        <v>845258.05</v>
      </c>
      <c r="G65" s="28">
        <f>SUM(G53:G64)</f>
        <v>97274.09</v>
      </c>
      <c r="H65" s="57">
        <f t="shared" si="0"/>
        <v>0</v>
      </c>
    </row>
    <row r="66" spans="1:9" x14ac:dyDescent="0.25">
      <c r="A66" s="20">
        <v>54402</v>
      </c>
      <c r="B66" s="21" t="s">
        <v>62</v>
      </c>
      <c r="C66" s="22">
        <v>8000</v>
      </c>
      <c r="D66" s="22">
        <v>4362.9399999999996</v>
      </c>
      <c r="E66" s="18">
        <f t="shared" ref="E66:E68" si="6">+C66+D66</f>
        <v>12362.939999999999</v>
      </c>
      <c r="F66" s="18">
        <v>12362.94</v>
      </c>
      <c r="G66" s="22">
        <v>0</v>
      </c>
      <c r="H66" s="55">
        <f t="shared" si="0"/>
        <v>-1.8189894035458565E-12</v>
      </c>
    </row>
    <row r="67" spans="1:9" x14ac:dyDescent="0.25">
      <c r="A67" s="20">
        <v>54403</v>
      </c>
      <c r="B67" s="21" t="s">
        <v>63</v>
      </c>
      <c r="C67" s="22">
        <v>11460</v>
      </c>
      <c r="D67" s="22">
        <v>-3342.42</v>
      </c>
      <c r="E67" s="18">
        <f t="shared" si="6"/>
        <v>8117.58</v>
      </c>
      <c r="F67" s="18">
        <v>6896</v>
      </c>
      <c r="G67" s="18">
        <v>1221.58</v>
      </c>
      <c r="H67" s="55">
        <f t="shared" si="0"/>
        <v>0</v>
      </c>
    </row>
    <row r="68" spans="1:9" x14ac:dyDescent="0.25">
      <c r="A68" s="20">
        <v>54404</v>
      </c>
      <c r="B68" s="21" t="s">
        <v>64</v>
      </c>
      <c r="C68" s="22">
        <v>20000</v>
      </c>
      <c r="D68" s="22">
        <v>21696.93</v>
      </c>
      <c r="E68" s="18">
        <f t="shared" si="6"/>
        <v>41696.93</v>
      </c>
      <c r="F68" s="18">
        <v>41690</v>
      </c>
      <c r="G68" s="18">
        <v>6.93</v>
      </c>
      <c r="H68" s="55">
        <f t="shared" si="0"/>
        <v>2.9132252166164108E-13</v>
      </c>
    </row>
    <row r="69" spans="1:9" x14ac:dyDescent="0.25">
      <c r="A69" s="56"/>
      <c r="B69" s="26" t="s">
        <v>45</v>
      </c>
      <c r="C69" s="28">
        <f>SUM(C66:C68)</f>
        <v>39460</v>
      </c>
      <c r="D69" s="28">
        <f>SUM(D66:D68)</f>
        <v>22717.45</v>
      </c>
      <c r="E69" s="28">
        <f>SUM(E66:E68)</f>
        <v>62177.45</v>
      </c>
      <c r="F69" s="28">
        <f>SUM(F66:F68)</f>
        <v>60948.94</v>
      </c>
      <c r="G69" s="28">
        <f>SUM(G66:G68)</f>
        <v>1228.51</v>
      </c>
      <c r="H69" s="57">
        <f t="shared" si="0"/>
        <v>-5.2295945351943374E-12</v>
      </c>
    </row>
    <row r="70" spans="1:9" x14ac:dyDescent="0.25">
      <c r="A70" s="20">
        <v>54505</v>
      </c>
      <c r="B70" s="21" t="s">
        <v>65</v>
      </c>
      <c r="C70" s="22">
        <v>4000</v>
      </c>
      <c r="D70" s="22">
        <v>-1320</v>
      </c>
      <c r="E70" s="18">
        <f t="shared" ref="E70:E71" si="7">+C70+D70</f>
        <v>2680</v>
      </c>
      <c r="F70" s="18">
        <v>1690</v>
      </c>
      <c r="G70" s="18">
        <v>990</v>
      </c>
      <c r="H70" s="55">
        <f t="shared" si="0"/>
        <v>0</v>
      </c>
    </row>
    <row r="71" spans="1:9" x14ac:dyDescent="0.25">
      <c r="A71" s="20">
        <v>54599</v>
      </c>
      <c r="B71" s="21" t="s">
        <v>66</v>
      </c>
      <c r="C71" s="22">
        <v>34100</v>
      </c>
      <c r="D71" s="22">
        <v>-8836.5400000000009</v>
      </c>
      <c r="E71" s="18">
        <f t="shared" si="7"/>
        <v>25263.46</v>
      </c>
      <c r="F71" s="18">
        <v>11300</v>
      </c>
      <c r="G71" s="18">
        <f>15500-1536.54</f>
        <v>13963.46</v>
      </c>
      <c r="H71" s="55">
        <f t="shared" si="0"/>
        <v>0</v>
      </c>
    </row>
    <row r="72" spans="1:9" x14ac:dyDescent="0.25">
      <c r="A72" s="56"/>
      <c r="B72" s="26" t="s">
        <v>45</v>
      </c>
      <c r="C72" s="28">
        <f>SUM(C70:C71)</f>
        <v>38100</v>
      </c>
      <c r="D72" s="28">
        <f>SUM(D70:D71)</f>
        <v>-10156.540000000001</v>
      </c>
      <c r="E72" s="28">
        <f>SUM(E70:E71)</f>
        <v>27943.46</v>
      </c>
      <c r="F72" s="28">
        <f>SUM(F70:F71)</f>
        <v>12990</v>
      </c>
      <c r="G72" s="28">
        <f>SUM(G70:G71)</f>
        <v>14953.46</v>
      </c>
      <c r="H72" s="55">
        <f t="shared" si="0"/>
        <v>0</v>
      </c>
    </row>
    <row r="73" spans="1:9" x14ac:dyDescent="0.25">
      <c r="A73" s="58"/>
      <c r="B73" s="26" t="s">
        <v>26</v>
      </c>
      <c r="C73" s="28">
        <f>+C72+C69+C65+C52+C43</f>
        <v>2106910</v>
      </c>
      <c r="D73" s="28">
        <f>+D43+D52+D65+D69+D72</f>
        <v>-42327.98000000001</v>
      </c>
      <c r="E73" s="29">
        <f>+E72+E69+E65+E52+E43</f>
        <v>2064582.02</v>
      </c>
      <c r="F73" s="30">
        <f>+F72+F69+F65+F52+F43</f>
        <v>1920391.53</v>
      </c>
      <c r="G73" s="30">
        <f>+G72+G69+G65+G52+G43</f>
        <v>144190.49</v>
      </c>
      <c r="H73" s="60">
        <f t="shared" si="0"/>
        <v>0</v>
      </c>
    </row>
    <row r="74" spans="1:9" x14ac:dyDescent="0.25">
      <c r="A74" s="20">
        <v>55599</v>
      </c>
      <c r="B74" s="21" t="s">
        <v>67</v>
      </c>
      <c r="C74" s="22">
        <v>3400</v>
      </c>
      <c r="D74" s="22">
        <v>-113</v>
      </c>
      <c r="E74" s="18">
        <f>+C74+D74</f>
        <v>3287</v>
      </c>
      <c r="F74" s="18">
        <v>2718.64</v>
      </c>
      <c r="G74" s="18">
        <f>681.36-113</f>
        <v>568.36</v>
      </c>
      <c r="H74" s="55">
        <f t="shared" si="0"/>
        <v>0</v>
      </c>
    </row>
    <row r="75" spans="1:9" x14ac:dyDescent="0.25">
      <c r="A75" s="56"/>
      <c r="B75" s="26" t="s">
        <v>45</v>
      </c>
      <c r="C75" s="28">
        <f>SUM(C74)</f>
        <v>3400</v>
      </c>
      <c r="D75" s="28">
        <f>SUM(D74)</f>
        <v>-113</v>
      </c>
      <c r="E75" s="28">
        <f>SUM(E74)</f>
        <v>3287</v>
      </c>
      <c r="F75" s="28">
        <f>SUM(F74)</f>
        <v>2718.64</v>
      </c>
      <c r="G75" s="28">
        <f>SUM(G74)</f>
        <v>568.36</v>
      </c>
      <c r="H75" s="55">
        <f t="shared" si="0"/>
        <v>0</v>
      </c>
    </row>
    <row r="76" spans="1:9" x14ac:dyDescent="0.25">
      <c r="A76" s="20">
        <v>55601</v>
      </c>
      <c r="B76" s="21" t="s">
        <v>68</v>
      </c>
      <c r="C76" s="22">
        <v>47000</v>
      </c>
      <c r="D76" s="22">
        <v>1457.22</v>
      </c>
      <c r="E76" s="18">
        <f t="shared" ref="E76:E78" si="8">+C76+D76</f>
        <v>48457.22</v>
      </c>
      <c r="F76" s="18">
        <v>48457.22</v>
      </c>
      <c r="G76" s="18">
        <v>0</v>
      </c>
      <c r="H76" s="55">
        <f t="shared" ref="H76:H100" si="9">+E76-F76-G76</f>
        <v>0</v>
      </c>
    </row>
    <row r="77" spans="1:9" x14ac:dyDescent="0.25">
      <c r="A77" s="20">
        <v>55602</v>
      </c>
      <c r="B77" s="21" t="s">
        <v>69</v>
      </c>
      <c r="C77" s="22">
        <v>36000</v>
      </c>
      <c r="D77" s="22">
        <v>21262.560000000001</v>
      </c>
      <c r="E77" s="18">
        <f t="shared" si="8"/>
        <v>57262.559999999998</v>
      </c>
      <c r="F77" s="18">
        <v>57147.74</v>
      </c>
      <c r="G77" s="18">
        <v>114.82</v>
      </c>
      <c r="H77" s="55">
        <f t="shared" si="9"/>
        <v>-2.8421709430404007E-13</v>
      </c>
    </row>
    <row r="78" spans="1:9" x14ac:dyDescent="0.25">
      <c r="A78" s="20">
        <v>55603</v>
      </c>
      <c r="B78" s="21" t="s">
        <v>70</v>
      </c>
      <c r="C78" s="22">
        <v>25</v>
      </c>
      <c r="D78" s="22">
        <v>0</v>
      </c>
      <c r="E78" s="18">
        <f t="shared" si="8"/>
        <v>25</v>
      </c>
      <c r="F78" s="18">
        <v>25</v>
      </c>
      <c r="G78" s="22">
        <v>0</v>
      </c>
      <c r="H78" s="55">
        <f t="shared" si="9"/>
        <v>0</v>
      </c>
    </row>
    <row r="79" spans="1:9" x14ac:dyDescent="0.25">
      <c r="A79" s="56"/>
      <c r="B79" s="26" t="s">
        <v>45</v>
      </c>
      <c r="C79" s="28">
        <f>SUM(C76:C78)</f>
        <v>83025</v>
      </c>
      <c r="D79" s="28">
        <f>SUM(D76:D77)</f>
        <v>22719.780000000002</v>
      </c>
      <c r="E79" s="28">
        <f>SUM(E76:E78)</f>
        <v>105744.78</v>
      </c>
      <c r="F79" s="28">
        <f>SUM(F76:F78)</f>
        <v>105629.95999999999</v>
      </c>
      <c r="G79" s="28">
        <f>SUM(G76:G78)</f>
        <v>114.82</v>
      </c>
      <c r="H79" s="55">
        <f t="shared" si="9"/>
        <v>6.9917405198793858E-12</v>
      </c>
      <c r="I79" s="61"/>
    </row>
    <row r="80" spans="1:9" x14ac:dyDescent="0.25">
      <c r="A80" s="58"/>
      <c r="B80" s="26" t="s">
        <v>26</v>
      </c>
      <c r="C80" s="28">
        <f>+C79+C75</f>
        <v>86425</v>
      </c>
      <c r="D80" s="28">
        <f>+D75+D79</f>
        <v>22606.780000000002</v>
      </c>
      <c r="E80" s="29">
        <f>+E79+E75</f>
        <v>109031.78</v>
      </c>
      <c r="F80" s="30">
        <f>+F79+F75</f>
        <v>108348.59999999999</v>
      </c>
      <c r="G80" s="59">
        <f>+G75+G79</f>
        <v>683.18000000000006</v>
      </c>
      <c r="H80" s="60">
        <f t="shared" si="9"/>
        <v>7.503331289626658E-12</v>
      </c>
      <c r="I80" s="61"/>
    </row>
    <row r="81" spans="1:9" x14ac:dyDescent="0.25">
      <c r="A81" s="20">
        <v>56303</v>
      </c>
      <c r="B81" s="21" t="s">
        <v>71</v>
      </c>
      <c r="C81" s="22">
        <v>4000</v>
      </c>
      <c r="D81" s="22"/>
      <c r="E81" s="18">
        <f t="shared" ref="E81:E82" si="10">+C81+D81</f>
        <v>4000</v>
      </c>
      <c r="F81" s="18"/>
      <c r="G81" s="22">
        <v>4000</v>
      </c>
      <c r="H81" s="55">
        <f t="shared" si="9"/>
        <v>0</v>
      </c>
      <c r="I81" s="62"/>
    </row>
    <row r="82" spans="1:9" x14ac:dyDescent="0.25">
      <c r="A82" s="20">
        <v>56304</v>
      </c>
      <c r="B82" s="21" t="s">
        <v>72</v>
      </c>
      <c r="C82" s="22">
        <v>0</v>
      </c>
      <c r="D82" s="22">
        <v>0</v>
      </c>
      <c r="E82" s="18">
        <f t="shared" si="10"/>
        <v>0</v>
      </c>
      <c r="F82" s="18">
        <v>0</v>
      </c>
      <c r="G82" s="22">
        <v>0</v>
      </c>
      <c r="H82" s="55">
        <f t="shared" si="9"/>
        <v>0</v>
      </c>
      <c r="I82" s="62"/>
    </row>
    <row r="83" spans="1:9" x14ac:dyDescent="0.25">
      <c r="A83" s="56"/>
      <c r="B83" s="26" t="s">
        <v>45</v>
      </c>
      <c r="C83" s="28">
        <f>C82+C81</f>
        <v>4000</v>
      </c>
      <c r="D83" s="28">
        <f>SUM(D81:D82)</f>
        <v>0</v>
      </c>
      <c r="E83" s="28">
        <f>SUM(E81:E82)</f>
        <v>4000</v>
      </c>
      <c r="F83" s="28">
        <f>SUM(F81:F82)</f>
        <v>0</v>
      </c>
      <c r="G83" s="28">
        <f>SUM(G81)</f>
        <v>4000</v>
      </c>
      <c r="H83" s="57">
        <f t="shared" si="9"/>
        <v>0</v>
      </c>
      <c r="I83" s="62"/>
    </row>
    <row r="84" spans="1:9" x14ac:dyDescent="0.25">
      <c r="A84" s="20">
        <v>56404</v>
      </c>
      <c r="B84" s="21" t="s">
        <v>73</v>
      </c>
      <c r="C84" s="22">
        <v>5500</v>
      </c>
      <c r="D84" s="22"/>
      <c r="E84" s="18">
        <f>+C84+D84</f>
        <v>5500</v>
      </c>
      <c r="F84" s="18">
        <v>5121.01</v>
      </c>
      <c r="G84" s="22">
        <v>378.99</v>
      </c>
      <c r="H84" s="55">
        <f t="shared" si="9"/>
        <v>0</v>
      </c>
      <c r="I84" s="62"/>
    </row>
    <row r="85" spans="1:9" ht="15.75" thickBot="1" x14ac:dyDescent="0.3">
      <c r="A85" s="63"/>
      <c r="B85" s="64" t="s">
        <v>45</v>
      </c>
      <c r="C85" s="65">
        <f>SUM(C84)</f>
        <v>5500</v>
      </c>
      <c r="D85" s="65">
        <f>SUM(D84)</f>
        <v>0</v>
      </c>
      <c r="E85" s="65">
        <f>SUM(E84)</f>
        <v>5500</v>
      </c>
      <c r="F85" s="65">
        <f>SUM(F84)</f>
        <v>5121.01</v>
      </c>
      <c r="G85" s="65">
        <f>SUM(G84)</f>
        <v>378.99</v>
      </c>
      <c r="H85" s="66">
        <f t="shared" si="9"/>
        <v>0</v>
      </c>
      <c r="I85" s="62"/>
    </row>
    <row r="86" spans="1:9" ht="15.75" thickBot="1" x14ac:dyDescent="0.3">
      <c r="A86" s="67"/>
      <c r="B86" s="68" t="s">
        <v>26</v>
      </c>
      <c r="C86" s="69">
        <f>+C83+C85</f>
        <v>9500</v>
      </c>
      <c r="D86" s="69">
        <f t="shared" ref="D86:H86" si="11">+D83+D85</f>
        <v>0</v>
      </c>
      <c r="E86" s="70">
        <f t="shared" si="11"/>
        <v>9500</v>
      </c>
      <c r="F86" s="71">
        <f t="shared" si="11"/>
        <v>5121.01</v>
      </c>
      <c r="G86" s="72">
        <f t="shared" si="11"/>
        <v>4378.99</v>
      </c>
      <c r="H86" s="73">
        <f t="shared" si="11"/>
        <v>0</v>
      </c>
      <c r="I86" s="62"/>
    </row>
    <row r="87" spans="1:9" x14ac:dyDescent="0.25">
      <c r="A87" s="42"/>
      <c r="B87" s="42"/>
      <c r="C87" s="43"/>
      <c r="D87" s="44"/>
      <c r="E87" s="44"/>
      <c r="F87" s="44"/>
      <c r="G87" s="44"/>
      <c r="H87" s="44"/>
      <c r="I87" s="62"/>
    </row>
    <row r="88" spans="1:9" x14ac:dyDescent="0.25">
      <c r="A88" s="42"/>
      <c r="B88" s="42"/>
      <c r="C88" s="43"/>
      <c r="D88" s="44"/>
      <c r="E88" s="44"/>
      <c r="F88" s="44"/>
      <c r="G88" s="44"/>
      <c r="H88" s="44"/>
      <c r="I88" s="62"/>
    </row>
    <row r="89" spans="1:9" x14ac:dyDescent="0.25">
      <c r="A89" s="42"/>
      <c r="B89" s="42"/>
      <c r="C89" s="43"/>
      <c r="D89" s="44"/>
      <c r="E89" s="44"/>
      <c r="F89" s="44"/>
      <c r="G89" s="44"/>
      <c r="H89" s="44"/>
      <c r="I89" s="62"/>
    </row>
    <row r="90" spans="1:9" ht="15.75" thickBot="1" x14ac:dyDescent="0.3">
      <c r="A90" s="42"/>
      <c r="B90" s="42"/>
      <c r="C90" s="43"/>
      <c r="D90" s="44"/>
      <c r="E90" s="44"/>
      <c r="F90" s="44"/>
      <c r="G90" s="44"/>
      <c r="H90" s="44"/>
      <c r="I90" s="62"/>
    </row>
    <row r="91" spans="1:9" ht="15.75" thickBot="1" x14ac:dyDescent="0.3">
      <c r="A91" s="7" t="s">
        <v>5</v>
      </c>
      <c r="B91" s="8" t="s">
        <v>6</v>
      </c>
      <c r="C91" s="46" t="s">
        <v>7</v>
      </c>
      <c r="D91" s="10" t="s">
        <v>8</v>
      </c>
      <c r="E91" s="47" t="s">
        <v>46</v>
      </c>
      <c r="F91" s="48" t="s">
        <v>10</v>
      </c>
      <c r="G91" s="49" t="s">
        <v>11</v>
      </c>
      <c r="H91" s="50" t="s">
        <v>12</v>
      </c>
      <c r="I91" s="62"/>
    </row>
    <row r="92" spans="1:9" x14ac:dyDescent="0.25">
      <c r="A92" s="74">
        <v>61101</v>
      </c>
      <c r="B92" s="75" t="s">
        <v>74</v>
      </c>
      <c r="C92" s="76">
        <v>5000</v>
      </c>
      <c r="D92" s="76">
        <v>19524</v>
      </c>
      <c r="E92" s="53">
        <f t="shared" ref="E92:E97" si="12">+C92+D92</f>
        <v>24524</v>
      </c>
      <c r="F92" s="53">
        <v>24242</v>
      </c>
      <c r="G92" s="76">
        <v>282</v>
      </c>
      <c r="H92" s="54">
        <f t="shared" si="9"/>
        <v>0</v>
      </c>
      <c r="I92" s="77"/>
    </row>
    <row r="93" spans="1:9" x14ac:dyDescent="0.25">
      <c r="A93" s="56">
        <v>61102</v>
      </c>
      <c r="B93" s="78" t="s">
        <v>75</v>
      </c>
      <c r="C93" s="23">
        <v>15000</v>
      </c>
      <c r="D93" s="23">
        <v>15008.54</v>
      </c>
      <c r="E93" s="18">
        <f t="shared" si="12"/>
        <v>30008.54</v>
      </c>
      <c r="F93" s="18">
        <v>29979.5</v>
      </c>
      <c r="G93" s="23">
        <v>29.04</v>
      </c>
      <c r="H93" s="55">
        <f t="shared" si="9"/>
        <v>8.7396756498492323E-13</v>
      </c>
      <c r="I93" s="77"/>
    </row>
    <row r="94" spans="1:9" x14ac:dyDescent="0.25">
      <c r="A94" s="56">
        <v>61103</v>
      </c>
      <c r="B94" s="78" t="s">
        <v>76</v>
      </c>
      <c r="C94" s="23">
        <v>500</v>
      </c>
      <c r="D94" s="23">
        <v>-500</v>
      </c>
      <c r="E94" s="18">
        <f t="shared" si="12"/>
        <v>0</v>
      </c>
      <c r="F94" s="18">
        <v>0</v>
      </c>
      <c r="G94" s="23">
        <v>0</v>
      </c>
      <c r="H94" s="55">
        <f t="shared" si="9"/>
        <v>0</v>
      </c>
      <c r="I94" s="77"/>
    </row>
    <row r="95" spans="1:9" x14ac:dyDescent="0.25">
      <c r="A95" s="56">
        <v>61104</v>
      </c>
      <c r="B95" s="78" t="s">
        <v>77</v>
      </c>
      <c r="C95" s="23">
        <v>15055</v>
      </c>
      <c r="D95" s="23">
        <v>24033.27</v>
      </c>
      <c r="E95" s="18">
        <f t="shared" si="12"/>
        <v>39088.270000000004</v>
      </c>
      <c r="F95" s="18">
        <v>38144.120000000003</v>
      </c>
      <c r="G95" s="23">
        <v>944.15</v>
      </c>
      <c r="H95" s="55">
        <f t="shared" si="9"/>
        <v>1.4779288903810084E-12</v>
      </c>
      <c r="I95" s="77"/>
    </row>
    <row r="96" spans="1:9" x14ac:dyDescent="0.25">
      <c r="A96" s="56">
        <v>61105</v>
      </c>
      <c r="B96" s="78" t="s">
        <v>85</v>
      </c>
      <c r="C96" s="23"/>
      <c r="D96" s="23">
        <v>69480</v>
      </c>
      <c r="E96" s="18">
        <f t="shared" si="12"/>
        <v>69480</v>
      </c>
      <c r="F96" s="18">
        <v>50850</v>
      </c>
      <c r="G96" s="23">
        <v>18630</v>
      </c>
      <c r="H96" s="55">
        <f t="shared" si="9"/>
        <v>0</v>
      </c>
      <c r="I96" s="77"/>
    </row>
    <row r="97" spans="1:9" x14ac:dyDescent="0.25">
      <c r="A97" s="20">
        <v>61108</v>
      </c>
      <c r="B97" s="21" t="s">
        <v>42</v>
      </c>
      <c r="C97" s="22">
        <v>1000</v>
      </c>
      <c r="D97" s="22">
        <v>1696.9</v>
      </c>
      <c r="E97" s="18">
        <f t="shared" si="12"/>
        <v>2696.9</v>
      </c>
      <c r="F97" s="18">
        <v>2667.76</v>
      </c>
      <c r="G97" s="22">
        <v>29.14</v>
      </c>
      <c r="H97" s="55">
        <f t="shared" si="9"/>
        <v>-1.2789769243681803E-13</v>
      </c>
      <c r="I97" s="62"/>
    </row>
    <row r="98" spans="1:9" x14ac:dyDescent="0.25">
      <c r="A98" s="56"/>
      <c r="B98" s="26" t="s">
        <v>45</v>
      </c>
      <c r="C98" s="28">
        <f>SUM(C92:C97)</f>
        <v>36555</v>
      </c>
      <c r="D98" s="28">
        <f>SUM(D92:D97)</f>
        <v>129242.70999999999</v>
      </c>
      <c r="E98" s="28">
        <f>SUM(E92:E97)</f>
        <v>165797.71</v>
      </c>
      <c r="F98" s="28">
        <f>SUM(F92:F97)</f>
        <v>145883.38</v>
      </c>
      <c r="G98" s="28">
        <f>SUM(G92:G97)</f>
        <v>19914.329999999998</v>
      </c>
      <c r="H98" s="57">
        <f t="shared" si="9"/>
        <v>0</v>
      </c>
      <c r="I98" s="62"/>
    </row>
    <row r="99" spans="1:9" x14ac:dyDescent="0.25">
      <c r="A99" s="20">
        <v>61403</v>
      </c>
      <c r="B99" s="21" t="s">
        <v>78</v>
      </c>
      <c r="C99" s="22">
        <v>0</v>
      </c>
      <c r="D99" s="22">
        <v>1047.51</v>
      </c>
      <c r="E99" s="18">
        <f>+C99+D99</f>
        <v>1047.51</v>
      </c>
      <c r="F99" s="22">
        <v>1047.51</v>
      </c>
      <c r="G99" s="22">
        <v>0</v>
      </c>
      <c r="H99" s="55">
        <f t="shared" si="9"/>
        <v>0</v>
      </c>
      <c r="I99" s="62"/>
    </row>
    <row r="100" spans="1:9" ht="15.75" thickBot="1" x14ac:dyDescent="0.3">
      <c r="A100" s="79"/>
      <c r="B100" s="80" t="s">
        <v>45</v>
      </c>
      <c r="C100" s="81">
        <f>+C99</f>
        <v>0</v>
      </c>
      <c r="D100" s="81">
        <f>+D99</f>
        <v>1047.51</v>
      </c>
      <c r="E100" s="82">
        <f>+E99</f>
        <v>1047.51</v>
      </c>
      <c r="F100" s="82">
        <f>+F99</f>
        <v>1047.51</v>
      </c>
      <c r="G100" s="82">
        <f>SUM(G99)</f>
        <v>0</v>
      </c>
      <c r="H100" s="83">
        <f t="shared" si="9"/>
        <v>0</v>
      </c>
      <c r="I100" s="62"/>
    </row>
    <row r="101" spans="1:9" ht="15.75" thickBot="1" x14ac:dyDescent="0.3">
      <c r="A101" s="84"/>
      <c r="B101" s="85" t="s">
        <v>26</v>
      </c>
      <c r="C101" s="86">
        <f>+C98+C100</f>
        <v>36555</v>
      </c>
      <c r="D101" s="86">
        <f>+D100+D98</f>
        <v>130290.21999999999</v>
      </c>
      <c r="E101" s="87">
        <f>+E100+E98</f>
        <v>166845.22</v>
      </c>
      <c r="F101" s="88">
        <f>+F100+F98</f>
        <v>146930.89000000001</v>
      </c>
      <c r="G101" s="89">
        <f>+G100+G98</f>
        <v>19914.329999999998</v>
      </c>
      <c r="H101" s="90">
        <f>+H100+H98</f>
        <v>0</v>
      </c>
      <c r="I101" s="62"/>
    </row>
    <row r="102" spans="1:9" ht="15.75" thickBot="1" x14ac:dyDescent="0.3">
      <c r="A102" s="101"/>
      <c r="B102" s="38" t="s">
        <v>79</v>
      </c>
      <c r="C102" s="102">
        <f>+C101+C86+C80+C73+C24</f>
        <v>9475399</v>
      </c>
      <c r="D102" s="39">
        <f>+D101+D86+D80+D73+D24</f>
        <v>300000</v>
      </c>
      <c r="E102" s="103">
        <f>+E24+E73+E80+E101+E86</f>
        <v>9775399</v>
      </c>
      <c r="F102" s="104">
        <f>+F24+F73+F80+F101+F86</f>
        <v>9556114.5600000005</v>
      </c>
      <c r="G102" s="105">
        <f>+G24+G73+G80+G101+G86</f>
        <v>219284.43999999997</v>
      </c>
      <c r="H102" s="109">
        <f>+H24+H73+H80+H101+H86</f>
        <v>1.8940227164421231E-10</v>
      </c>
      <c r="I102" s="107"/>
    </row>
    <row r="103" spans="1:9" x14ac:dyDescent="0.25">
      <c r="C103" s="99"/>
      <c r="D103" s="100"/>
      <c r="E103" s="100"/>
      <c r="F103" s="100"/>
      <c r="G103" s="100"/>
      <c r="H103" s="61"/>
      <c r="I103" s="107"/>
    </row>
  </sheetData>
  <mergeCells count="5">
    <mergeCell ref="B2:I2"/>
    <mergeCell ref="B3:F3"/>
    <mergeCell ref="B4:F4"/>
    <mergeCell ref="A6:H6"/>
    <mergeCell ref="B7:H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julio</vt:lpstr>
      <vt:lpstr>agosto</vt:lpstr>
      <vt:lpstr>septiembre</vt:lpstr>
      <vt:lpstr>octubre</vt:lpstr>
      <vt:lpstr>noviembre</vt:lpstr>
      <vt:lpstr>diciembre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2019-09-24T19:33:31Z</dcterms:created>
  <dcterms:modified xsi:type="dcterms:W3CDTF">2019-09-25T20:01:22Z</dcterms:modified>
</cp:coreProperties>
</file>